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Phil\Dropbox (Eskimo)\TECHNICAL INFORMATION\"/>
    </mc:Choice>
  </mc:AlternateContent>
  <xr:revisionPtr revIDLastSave="0" documentId="13_ncr:1_{517B8FD6-1308-490F-B746-C5E38EBED66C}" xr6:coauthVersionLast="43" xr6:coauthVersionMax="43" xr10:uidLastSave="{00000000-0000-0000-0000-000000000000}"/>
  <bookViews>
    <workbookView xWindow="-120" yWindow="-120" windowWidth="20730" windowHeight="11160" activeTab="4" xr2:uid="{00000000-000D-0000-FFFF-FFFF00000000}"/>
  </bookViews>
  <sheets>
    <sheet name="Outline - Water" sheetId="3" r:id="rId1"/>
    <sheet name="RON" sheetId="1" r:id="rId2"/>
    <sheet name="Outline - Electric" sheetId="5" r:id="rId3"/>
    <sheet name="Column" sheetId="6" r:id="rId4"/>
    <sheet name="Gordon" sheetId="7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4" i="5" l="1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O34" i="5"/>
  <c r="O33" i="5"/>
  <c r="O32" i="5"/>
  <c r="O31" i="5"/>
  <c r="O30" i="5"/>
  <c r="M30" i="5"/>
  <c r="N30" i="5"/>
  <c r="R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M5" i="5"/>
  <c r="N5" i="5"/>
  <c r="R5" i="5"/>
  <c r="M6" i="5"/>
  <c r="N6" i="5"/>
  <c r="R6" i="5"/>
  <c r="M7" i="5"/>
  <c r="N7" i="5"/>
  <c r="M8" i="5"/>
  <c r="N8" i="5"/>
  <c r="R8" i="5"/>
  <c r="M9" i="5"/>
  <c r="N9" i="5"/>
  <c r="R9" i="5"/>
  <c r="M10" i="5"/>
  <c r="N10" i="5"/>
  <c r="R10" i="5"/>
  <c r="M11" i="5"/>
  <c r="N11" i="5"/>
  <c r="M12" i="5"/>
  <c r="N12" i="5"/>
  <c r="R12" i="5"/>
  <c r="M13" i="5"/>
  <c r="N13" i="5"/>
  <c r="R13" i="5"/>
  <c r="M14" i="5"/>
  <c r="N14" i="5"/>
  <c r="R14" i="5"/>
  <c r="M15" i="5"/>
  <c r="N15" i="5"/>
  <c r="M16" i="5"/>
  <c r="N16" i="5"/>
  <c r="R16" i="5"/>
  <c r="M17" i="5"/>
  <c r="N17" i="5"/>
  <c r="R17" i="5"/>
  <c r="M18" i="5"/>
  <c r="N18" i="5"/>
  <c r="M19" i="5"/>
  <c r="N19" i="5"/>
  <c r="M20" i="5"/>
  <c r="N20" i="5"/>
  <c r="R20" i="5"/>
  <c r="M21" i="5"/>
  <c r="N21" i="5"/>
  <c r="R21" i="5"/>
  <c r="M22" i="5"/>
  <c r="N22" i="5"/>
  <c r="M23" i="5"/>
  <c r="N23" i="5"/>
  <c r="M24" i="5"/>
  <c r="N24" i="5"/>
  <c r="R24" i="5"/>
  <c r="M25" i="5"/>
  <c r="N25" i="5"/>
  <c r="R25" i="5"/>
  <c r="M26" i="5"/>
  <c r="N26" i="5"/>
  <c r="R26" i="5"/>
  <c r="M27" i="5"/>
  <c r="N27" i="5"/>
  <c r="R27" i="5"/>
  <c r="M28" i="5"/>
  <c r="N28" i="5"/>
  <c r="R28" i="5"/>
  <c r="M29" i="5"/>
  <c r="N29" i="5"/>
  <c r="R29" i="5"/>
  <c r="M31" i="5"/>
  <c r="N31" i="5"/>
  <c r="R31" i="5"/>
  <c r="M32" i="5"/>
  <c r="N32" i="5"/>
  <c r="R32" i="5"/>
  <c r="M33" i="5"/>
  <c r="N33" i="5"/>
  <c r="R33" i="5"/>
  <c r="M34" i="5"/>
  <c r="N34" i="5"/>
  <c r="R34" i="5"/>
  <c r="F241" i="5"/>
  <c r="F240" i="5"/>
  <c r="L4" i="5"/>
  <c r="M4" i="5"/>
  <c r="N4" i="5"/>
  <c r="R4" i="5"/>
  <c r="R23" i="5"/>
  <c r="R19" i="5"/>
  <c r="R15" i="5"/>
  <c r="R11" i="5"/>
  <c r="R22" i="5"/>
  <c r="R18" i="5"/>
  <c r="R7" i="5"/>
  <c r="AD6" i="3"/>
  <c r="T3" i="3"/>
  <c r="AA3" i="3"/>
  <c r="U3" i="3"/>
  <c r="X3" i="3"/>
  <c r="Z3" i="3"/>
  <c r="X8" i="3"/>
  <c r="AY10" i="3"/>
  <c r="AF3" i="3"/>
  <c r="AO3" i="3"/>
  <c r="AI8" i="3"/>
  <c r="AP3" i="3"/>
  <c r="AA8" i="3"/>
  <c r="AE8" i="3"/>
  <c r="AF8" i="3"/>
  <c r="T2" i="3"/>
  <c r="AA2" i="3"/>
  <c r="U2" i="3"/>
  <c r="X2" i="3"/>
  <c r="AO2" i="3"/>
  <c r="AP2" i="3"/>
  <c r="AQ2" i="3"/>
  <c r="AI7" i="3"/>
  <c r="AA7" i="3"/>
  <c r="AE7" i="3"/>
  <c r="AF7" i="3"/>
  <c r="L134" i="3"/>
  <c r="N134" i="3"/>
  <c r="O134" i="3"/>
  <c r="L133" i="3"/>
  <c r="O133" i="3"/>
  <c r="L132" i="3"/>
  <c r="O132" i="3"/>
  <c r="L129" i="3"/>
  <c r="O129" i="3"/>
  <c r="L128" i="3"/>
  <c r="N128" i="3"/>
  <c r="O128" i="3"/>
  <c r="L126" i="3"/>
  <c r="O126" i="3"/>
  <c r="D123" i="3"/>
  <c r="E123" i="3"/>
  <c r="P123" i="3"/>
  <c r="R123" i="3"/>
  <c r="M123" i="3"/>
  <c r="I123" i="3"/>
  <c r="J123" i="3"/>
  <c r="L123" i="3"/>
  <c r="K123" i="3"/>
  <c r="G123" i="3"/>
  <c r="B123" i="3"/>
  <c r="D122" i="3"/>
  <c r="E122" i="3"/>
  <c r="P122" i="3"/>
  <c r="R122" i="3"/>
  <c r="M122" i="3"/>
  <c r="I122" i="3"/>
  <c r="J122" i="3"/>
  <c r="L122" i="3"/>
  <c r="K122" i="3"/>
  <c r="G122" i="3"/>
  <c r="B122" i="3"/>
  <c r="B121" i="3"/>
  <c r="C121" i="3"/>
  <c r="D121" i="3"/>
  <c r="M121" i="3"/>
  <c r="K121" i="3"/>
  <c r="G121" i="3"/>
  <c r="B120" i="3"/>
  <c r="C120" i="3"/>
  <c r="D120" i="3"/>
  <c r="M120" i="3"/>
  <c r="K120" i="3"/>
  <c r="G120" i="3"/>
  <c r="B116" i="3"/>
  <c r="C116" i="3"/>
  <c r="D116" i="3"/>
  <c r="M116" i="3"/>
  <c r="K116" i="3"/>
  <c r="G116" i="3"/>
  <c r="B115" i="3"/>
  <c r="C115" i="3"/>
  <c r="D115" i="3"/>
  <c r="M115" i="3"/>
  <c r="K115" i="3"/>
  <c r="G115" i="3"/>
  <c r="B114" i="3"/>
  <c r="C114" i="3"/>
  <c r="D114" i="3"/>
  <c r="M114" i="3"/>
  <c r="K114" i="3"/>
  <c r="G114" i="3"/>
  <c r="B113" i="3"/>
  <c r="C113" i="3"/>
  <c r="D113" i="3"/>
  <c r="M113" i="3"/>
  <c r="K113" i="3"/>
  <c r="G113" i="3"/>
  <c r="T7" i="3"/>
  <c r="U7" i="3"/>
  <c r="T8" i="3"/>
  <c r="U8" i="3"/>
  <c r="V8" i="3"/>
  <c r="V7" i="3"/>
  <c r="V5" i="3"/>
  <c r="U5" i="3"/>
  <c r="T5" i="3"/>
  <c r="W5" i="1"/>
  <c r="AD5" i="1"/>
  <c r="T2" i="1"/>
  <c r="T6" i="1"/>
  <c r="U2" i="1"/>
  <c r="W2" i="1"/>
  <c r="Z2" i="1"/>
  <c r="X2" i="1"/>
  <c r="Y2" i="1"/>
  <c r="W6" i="1"/>
  <c r="AA6" i="1"/>
  <c r="AB6" i="1"/>
  <c r="AC6" i="1"/>
  <c r="AD6" i="1"/>
  <c r="V6" i="1"/>
  <c r="U6" i="1"/>
  <c r="V4" i="1"/>
  <c r="U4" i="1"/>
  <c r="T4" i="1"/>
  <c r="N129" i="3"/>
  <c r="AD7" i="3"/>
  <c r="I113" i="3"/>
  <c r="J113" i="3"/>
  <c r="L113" i="3"/>
  <c r="E113" i="3"/>
  <c r="P113" i="3"/>
  <c r="R113" i="3"/>
  <c r="I120" i="3"/>
  <c r="J120" i="3"/>
  <c r="L120" i="3"/>
  <c r="E120" i="3"/>
  <c r="P120" i="3"/>
  <c r="R120" i="3"/>
  <c r="AH3" i="3"/>
  <c r="Z8" i="3"/>
  <c r="AI3" i="3"/>
  <c r="E114" i="3"/>
  <c r="P114" i="3"/>
  <c r="R114" i="3"/>
  <c r="I114" i="3"/>
  <c r="J114" i="3"/>
  <c r="L114" i="3"/>
  <c r="I121" i="3"/>
  <c r="J121" i="3"/>
  <c r="L121" i="3"/>
  <c r="E121" i="3"/>
  <c r="P121" i="3"/>
  <c r="R121" i="3"/>
  <c r="X6" i="1"/>
  <c r="AZ8" i="1"/>
  <c r="Y6" i="1"/>
  <c r="I115" i="3"/>
  <c r="J115" i="3"/>
  <c r="L115" i="3"/>
  <c r="E115" i="3"/>
  <c r="P115" i="3"/>
  <c r="R115" i="3"/>
  <c r="W2" i="3"/>
  <c r="AB2" i="3"/>
  <c r="AC2" i="3"/>
  <c r="AE2" i="3"/>
  <c r="I116" i="3"/>
  <c r="J116" i="3"/>
  <c r="L116" i="3"/>
  <c r="E116" i="3"/>
  <c r="P116" i="3"/>
  <c r="R116" i="3"/>
  <c r="W3" i="3"/>
  <c r="AB3" i="3"/>
  <c r="AC3" i="3"/>
  <c r="AE3" i="3"/>
  <c r="AA2" i="1"/>
  <c r="Z6" i="1"/>
  <c r="N133" i="3"/>
  <c r="Z2" i="3"/>
  <c r="N132" i="3"/>
  <c r="AQ3" i="3"/>
  <c r="AD8" i="3"/>
  <c r="AE6" i="1"/>
  <c r="E3" i="1"/>
  <c r="X7" i="3"/>
  <c r="AY9" i="3"/>
  <c r="AF2" i="3"/>
  <c r="AN3" i="3"/>
  <c r="AG8" i="3"/>
  <c r="AH8" i="3"/>
  <c r="Y3" i="3"/>
  <c r="W8" i="3"/>
  <c r="AG3" i="3"/>
  <c r="Y8" i="3"/>
  <c r="AL3" i="3"/>
  <c r="AC8" i="3"/>
  <c r="AK3" i="3"/>
  <c r="AB8" i="3"/>
  <c r="Y2" i="3"/>
  <c r="W7" i="3"/>
  <c r="AG2" i="3"/>
  <c r="Y7" i="3"/>
  <c r="AL2" i="3"/>
  <c r="AC7" i="3"/>
  <c r="AK2" i="3"/>
  <c r="AB7" i="3"/>
  <c r="AH2" i="3"/>
  <c r="Z7" i="3"/>
  <c r="AI2" i="3"/>
  <c r="AJ8" i="3"/>
  <c r="E4" i="3"/>
  <c r="AH7" i="3"/>
  <c r="AN2" i="3"/>
  <c r="AG7" i="3"/>
  <c r="AJ7" i="3"/>
  <c r="E3" i="3"/>
</calcChain>
</file>

<file path=xl/sharedStrings.xml><?xml version="1.0" encoding="utf-8"?>
<sst xmlns="http://schemas.openxmlformats.org/spreadsheetml/2006/main" count="191" uniqueCount="154">
  <si>
    <t>Shallow</t>
  </si>
  <si>
    <t>length (x)</t>
  </si>
  <si>
    <t>height (y)</t>
  </si>
  <si>
    <t>depth (z)</t>
  </si>
  <si>
    <t>Deep</t>
  </si>
  <si>
    <t>Parts Calculator</t>
  </si>
  <si>
    <t>No of F8000 sections possible</t>
  </si>
  <si>
    <t>Length of each section</t>
  </si>
  <si>
    <t>Total Metres of F8000 used</t>
  </si>
  <si>
    <t>Cross tube overall length less X51 fittings</t>
  </si>
  <si>
    <t>Width of inside of panel</t>
  </si>
  <si>
    <t>Total width of extrusion assembly</t>
  </si>
  <si>
    <t>Gap at each end between panel and extrusion</t>
  </si>
  <si>
    <t>Minimum gap</t>
  </si>
  <si>
    <t>No. of F8000 sections after ensuring gap is large enough</t>
  </si>
  <si>
    <t>No. of tie bar positions</t>
  </si>
  <si>
    <t>No. of X50s (ext tube)</t>
  </si>
  <si>
    <t>No. of X61s (alum lugs)</t>
  </si>
  <si>
    <t xml:space="preserve">No of  X20 grommets </t>
  </si>
  <si>
    <t>No. of X21 nylon bushes</t>
  </si>
  <si>
    <t>No. of vents</t>
  </si>
  <si>
    <t>No. of capscrews</t>
  </si>
  <si>
    <t>Minimum no. of tie bars</t>
  </si>
  <si>
    <t>Cost Calculator</t>
  </si>
  <si>
    <t>X50</t>
  </si>
  <si>
    <t>Grommets X20</t>
  </si>
  <si>
    <t>Nylon Bushes X21</t>
  </si>
  <si>
    <t>vents X30</t>
  </si>
  <si>
    <t>capscrews</t>
  </si>
  <si>
    <t>Total</t>
  </si>
  <si>
    <t>Piece price</t>
  </si>
  <si>
    <t>Surf. Area (disregarding plain tube)</t>
  </si>
  <si>
    <t>w/m2</t>
  </si>
  <si>
    <t>Output (w)</t>
  </si>
  <si>
    <t>No. of lengths of F8000</t>
  </si>
  <si>
    <t>Total m of F8000 used</t>
  </si>
  <si>
    <t>x dim overall</t>
  </si>
  <si>
    <t>cross tube o'all length</t>
  </si>
  <si>
    <t>Width of inside of panel (mm)</t>
  </si>
  <si>
    <t>Width of extrusion (mm)</t>
  </si>
  <si>
    <t>"A" dimension on cross tube drawing</t>
  </si>
  <si>
    <t>"B" dimension on cross tube drawing</t>
  </si>
  <si>
    <t>"C" dimension on cross tube drawing</t>
  </si>
  <si>
    <t>No of tie bars</t>
  </si>
  <si>
    <t>Perimeter of F8000 (m)</t>
  </si>
  <si>
    <t>shallow</t>
  </si>
  <si>
    <t>lie down</t>
  </si>
  <si>
    <t>get up</t>
  </si>
  <si>
    <t>oblong</t>
  </si>
  <si>
    <t>you square</t>
  </si>
  <si>
    <t>deep</t>
  </si>
  <si>
    <t>No. of lengths of extrusion</t>
  </si>
  <si>
    <t>Total metres of F8000 used</t>
  </si>
  <si>
    <t>F220</t>
  </si>
  <si>
    <t>F66</t>
  </si>
  <si>
    <t>F66 deep</t>
  </si>
  <si>
    <t>F126</t>
  </si>
  <si>
    <t>F202</t>
  </si>
  <si>
    <t xml:space="preserve">F800 </t>
  </si>
  <si>
    <t>Weight Calculator</t>
  </si>
  <si>
    <t>Piece weight</t>
  </si>
  <si>
    <t>Weight of extrusion</t>
  </si>
  <si>
    <t>Weight of Cross Tube (X90) material</t>
  </si>
  <si>
    <t>X53</t>
  </si>
  <si>
    <t>X56</t>
  </si>
  <si>
    <t>X54</t>
  </si>
  <si>
    <t>No. of X56s (steel lugs)</t>
  </si>
  <si>
    <t>No of X53s (1/2" fittings)</t>
  </si>
  <si>
    <t>stainless edge area</t>
  </si>
  <si>
    <t>total panel area</t>
  </si>
  <si>
    <t>stainless front panel area</t>
  </si>
  <si>
    <t>s/s panel weight</t>
  </si>
  <si>
    <t>Y20 Brackets</t>
  </si>
  <si>
    <t>Packaging</t>
  </si>
  <si>
    <t>Total weight (inc packaging) - KG</t>
  </si>
  <si>
    <t>No of extruded sections</t>
  </si>
  <si>
    <t>Total Metres of extrusion used</t>
  </si>
  <si>
    <t>No of barrel nipples</t>
  </si>
  <si>
    <t>No of welding caps</t>
  </si>
  <si>
    <t>Barrel Nipples</t>
  </si>
  <si>
    <t>Seals</t>
  </si>
  <si>
    <t>Flat cap</t>
  </si>
  <si>
    <t>Brackets</t>
  </si>
  <si>
    <t>Vents</t>
  </si>
  <si>
    <t>Pack</t>
  </si>
  <si>
    <t>Weight of cast caps</t>
  </si>
  <si>
    <t>Enter sizes in red boxes</t>
  </si>
  <si>
    <t>Ron weight calculator - dry</t>
  </si>
  <si>
    <t>Heater Mat Quantity per rad</t>
  </si>
  <si>
    <t>Fin Length</t>
  </si>
  <si>
    <t>Fin Qty</t>
  </si>
  <si>
    <t>Fin Metredge</t>
  </si>
  <si>
    <t>Fin weight</t>
  </si>
  <si>
    <t>Part No</t>
  </si>
  <si>
    <t>Length</t>
  </si>
  <si>
    <t>Height</t>
  </si>
  <si>
    <t>Depth</t>
  </si>
  <si>
    <r>
      <rPr>
        <b/>
        <sz val="11"/>
        <color theme="1"/>
        <rFont val="Calibri"/>
        <family val="2"/>
        <scheme val="minor"/>
      </rPr>
      <t>Get Up  -Shallow</t>
    </r>
    <r>
      <rPr>
        <sz val="10"/>
        <rFont val="Tahoma"/>
      </rPr>
      <t xml:space="preserve">    290w (red wires)</t>
    </r>
  </si>
  <si>
    <r>
      <rPr>
        <b/>
        <sz val="11"/>
        <color theme="1"/>
        <rFont val="Calibri"/>
        <family val="2"/>
        <scheme val="minor"/>
      </rPr>
      <t>Get Up - Deep</t>
    </r>
    <r>
      <rPr>
        <sz val="10"/>
        <rFont val="Tahoma"/>
      </rPr>
      <t xml:space="preserve">     410w (white wires)</t>
    </r>
  </si>
  <si>
    <r>
      <rPr>
        <b/>
        <sz val="11"/>
        <color theme="1"/>
        <rFont val="Calibri"/>
        <family val="2"/>
        <scheme val="minor"/>
      </rPr>
      <t xml:space="preserve">Lie Down - Shallow </t>
    </r>
    <r>
      <rPr>
        <sz val="10"/>
        <rFont val="Tahoma"/>
      </rPr>
      <t>197w (red wires)</t>
    </r>
  </si>
  <si>
    <r>
      <rPr>
        <b/>
        <sz val="11"/>
        <color theme="1"/>
        <rFont val="Calibri"/>
        <family val="2"/>
        <scheme val="minor"/>
      </rPr>
      <t>Lie Down - Deep</t>
    </r>
    <r>
      <rPr>
        <sz val="10"/>
        <rFont val="Tahoma"/>
      </rPr>
      <t xml:space="preserve">    289w (white wires)</t>
    </r>
  </si>
  <si>
    <t>Shallow extrusion</t>
  </si>
  <si>
    <t>Deep extrusion</t>
  </si>
  <si>
    <t>You Square</t>
  </si>
  <si>
    <t>DE7070S</t>
  </si>
  <si>
    <t>DE105105S</t>
  </si>
  <si>
    <t>DE7070D</t>
  </si>
  <si>
    <t>DE105105D</t>
  </si>
  <si>
    <t>Get Up</t>
  </si>
  <si>
    <t>DE14024S</t>
  </si>
  <si>
    <t>DE19024S</t>
  </si>
  <si>
    <t>DE7546S</t>
  </si>
  <si>
    <t>DE14046S</t>
  </si>
  <si>
    <t>DE19046S</t>
  </si>
  <si>
    <t>DE14024D</t>
  </si>
  <si>
    <t>DE19024D</t>
  </si>
  <si>
    <t>DE7546D</t>
  </si>
  <si>
    <t>DE14046D</t>
  </si>
  <si>
    <t>DE19046D</t>
  </si>
  <si>
    <t>Lie Down</t>
  </si>
  <si>
    <t>DE29110S</t>
  </si>
  <si>
    <t>DE29160S</t>
  </si>
  <si>
    <t>DE29210S</t>
  </si>
  <si>
    <t>DE47110S</t>
  </si>
  <si>
    <t>DE47160S</t>
  </si>
  <si>
    <t>DE47210S</t>
  </si>
  <si>
    <t>DE65110S</t>
  </si>
  <si>
    <t>DE65160S</t>
  </si>
  <si>
    <t>DE65210S</t>
  </si>
  <si>
    <t>DE29110D</t>
  </si>
  <si>
    <t>DE29160D</t>
  </si>
  <si>
    <t>DE29210D</t>
  </si>
  <si>
    <t>DE47110D</t>
  </si>
  <si>
    <t>DE47160D</t>
  </si>
  <si>
    <t>DE47210D</t>
  </si>
  <si>
    <t>DE65110D</t>
  </si>
  <si>
    <t>DE65160D</t>
  </si>
  <si>
    <t>Number of extrusions wide</t>
  </si>
  <si>
    <t>Type</t>
  </si>
  <si>
    <t>Output</t>
  </si>
  <si>
    <t>Number of vertical heater mats</t>
  </si>
  <si>
    <t>Number high</t>
  </si>
  <si>
    <t>Heater mat weight</t>
  </si>
  <si>
    <t>Bits &amp; peiecs weight</t>
  </si>
  <si>
    <t>Panel Weight</t>
  </si>
  <si>
    <t>Radiator Weight</t>
  </si>
  <si>
    <t>Outline Electric rad weights</t>
  </si>
  <si>
    <t>Outline water weight calculators - (dry weight not including water)</t>
  </si>
  <si>
    <t>No of sections</t>
  </si>
  <si>
    <t>Rad length</t>
  </si>
  <si>
    <t>kg/section</t>
  </si>
  <si>
    <t>Column Rad weight</t>
  </si>
  <si>
    <t>Rad Height</t>
  </si>
  <si>
    <t>Single Gordon - 8kg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</si>
</sst>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Tahoma"/>
    </font>
    <font>
      <b/>
      <sz val="10"/>
      <name val="Arial"/>
      <family val="2"/>
    </font>
    <font>
      <sz val="10"/>
      <name val="Arial"/>
      <family val="2"/>
    </font>
    <font>
      <sz val="10"/>
      <color indexed="50"/>
      <name val="Arial"/>
      <family val="2"/>
    </font>
    <font>
      <sz val="10"/>
      <color indexed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8" fillId="0" borderId="4" xfId="0" applyFont="1" applyBorder="1"/>
    <xf numFmtId="0" fontId="9" fillId="0" borderId="0" xfId="0" applyFont="1" applyFill="1" applyBorder="1"/>
    <xf numFmtId="0" fontId="0" fillId="0" borderId="0" xfId="0" applyFill="1" applyBorder="1" applyAlignment="1"/>
    <xf numFmtId="0" fontId="0" fillId="0" borderId="4" xfId="0" applyBorder="1"/>
    <xf numFmtId="0" fontId="8" fillId="0" borderId="11" xfId="0" applyFont="1" applyBorder="1"/>
    <xf numFmtId="0" fontId="8" fillId="0" borderId="13" xfId="0" applyFont="1" applyBorder="1"/>
    <xf numFmtId="0" fontId="8" fillId="0" borderId="12" xfId="0" applyFont="1" applyBorder="1"/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10" fillId="0" borderId="15" xfId="0" applyFont="1" applyBorder="1" applyAlignment="1">
      <alignment vertical="center"/>
    </xf>
    <xf numFmtId="0" fontId="0" fillId="0" borderId="19" xfId="0" applyBorder="1"/>
    <xf numFmtId="0" fontId="0" fillId="0" borderId="16" xfId="0" applyBorder="1"/>
    <xf numFmtId="0" fontId="0" fillId="0" borderId="15" xfId="0" applyBorder="1"/>
    <xf numFmtId="0" fontId="0" fillId="0" borderId="15" xfId="0" applyFont="1" applyBorder="1"/>
    <xf numFmtId="0" fontId="0" fillId="0" borderId="16" xfId="0" applyFont="1" applyBorder="1"/>
    <xf numFmtId="1" fontId="0" fillId="0" borderId="17" xfId="0" applyNumberFormat="1" applyBorder="1"/>
    <xf numFmtId="0" fontId="10" fillId="2" borderId="15" xfId="0" applyFont="1" applyFill="1" applyBorder="1" applyAlignment="1">
      <alignment vertical="center"/>
    </xf>
    <xf numFmtId="0" fontId="0" fillId="2" borderId="19" xfId="0" applyFill="1" applyBorder="1"/>
    <xf numFmtId="0" fontId="0" fillId="2" borderId="16" xfId="0" applyFill="1" applyBorder="1"/>
    <xf numFmtId="0" fontId="0" fillId="2" borderId="15" xfId="0" applyFill="1" applyBorder="1"/>
    <xf numFmtId="0" fontId="0" fillId="2" borderId="15" xfId="0" applyFont="1" applyFill="1" applyBorder="1"/>
    <xf numFmtId="0" fontId="0" fillId="2" borderId="16" xfId="0" applyFont="1" applyFill="1" applyBorder="1"/>
    <xf numFmtId="1" fontId="0" fillId="2" borderId="17" xfId="0" applyNumberFormat="1" applyFill="1" applyBorder="1"/>
    <xf numFmtId="0" fontId="10" fillId="2" borderId="21" xfId="0" applyFont="1" applyFill="1" applyBorder="1" applyAlignment="1">
      <alignment vertical="center"/>
    </xf>
    <xf numFmtId="0" fontId="0" fillId="2" borderId="22" xfId="0" applyFill="1" applyBorder="1"/>
    <xf numFmtId="0" fontId="0" fillId="2" borderId="23" xfId="0" applyFill="1" applyBorder="1"/>
    <xf numFmtId="0" fontId="0" fillId="2" borderId="21" xfId="0" applyFill="1" applyBorder="1"/>
    <xf numFmtId="0" fontId="0" fillId="2" borderId="21" xfId="0" applyFont="1" applyFill="1" applyBorder="1"/>
    <xf numFmtId="0" fontId="0" fillId="2" borderId="23" xfId="0" applyFont="1" applyFill="1" applyBorder="1"/>
    <xf numFmtId="1" fontId="0" fillId="2" borderId="24" xfId="0" applyNumberFormat="1" applyFill="1" applyBorder="1"/>
    <xf numFmtId="0" fontId="0" fillId="0" borderId="13" xfId="0" applyBorder="1" applyAlignment="1">
      <alignment wrapText="1"/>
    </xf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0" borderId="27" xfId="0" applyBorder="1"/>
    <xf numFmtId="1" fontId="0" fillId="0" borderId="16" xfId="0" applyNumberFormat="1" applyBorder="1"/>
    <xf numFmtId="1" fontId="0" fillId="0" borderId="25" xfId="0" applyNumberFormat="1" applyBorder="1"/>
    <xf numFmtId="1" fontId="0" fillId="0" borderId="23" xfId="0" applyNumberFormat="1" applyBorder="1"/>
    <xf numFmtId="1" fontId="0" fillId="0" borderId="26" xfId="0" applyNumberFormat="1" applyBorder="1"/>
    <xf numFmtId="164" fontId="0" fillId="0" borderId="16" xfId="0" applyNumberFormat="1" applyBorder="1"/>
    <xf numFmtId="164" fontId="0" fillId="2" borderId="16" xfId="0" applyNumberFormat="1" applyFill="1" applyBorder="1"/>
    <xf numFmtId="164" fontId="0" fillId="2" borderId="23" xfId="0" applyNumberFormat="1" applyFill="1" applyBorder="1"/>
    <xf numFmtId="1" fontId="8" fillId="2" borderId="19" xfId="0" applyNumberFormat="1" applyFont="1" applyFill="1" applyBorder="1"/>
    <xf numFmtId="1" fontId="8" fillId="0" borderId="19" xfId="0" applyNumberFormat="1" applyFont="1" applyBorder="1"/>
    <xf numFmtId="0" fontId="0" fillId="0" borderId="0" xfId="0" applyAlignment="1">
      <alignment horizontal="center"/>
    </xf>
    <xf numFmtId="164" fontId="0" fillId="0" borderId="19" xfId="0" applyNumberFormat="1" applyBorder="1"/>
    <xf numFmtId="1" fontId="0" fillId="2" borderId="19" xfId="0" applyNumberFormat="1" applyFill="1" applyBorder="1"/>
    <xf numFmtId="1" fontId="0" fillId="0" borderId="19" xfId="0" applyNumberFormat="1" applyBorder="1"/>
    <xf numFmtId="1" fontId="11" fillId="2" borderId="19" xfId="0" applyNumberFormat="1" applyFont="1" applyFill="1" applyBorder="1"/>
    <xf numFmtId="1" fontId="12" fillId="2" borderId="19" xfId="0" applyNumberFormat="1" applyFont="1" applyFill="1" applyBorder="1"/>
    <xf numFmtId="1" fontId="11" fillId="0" borderId="19" xfId="0" applyNumberFormat="1" applyFont="1" applyBorder="1"/>
    <xf numFmtId="1" fontId="12" fillId="0" borderId="19" xfId="0" applyNumberFormat="1" applyFont="1" applyBorder="1"/>
    <xf numFmtId="0" fontId="13" fillId="0" borderId="19" xfId="0" applyFont="1" applyBorder="1"/>
    <xf numFmtId="0" fontId="13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34"/>
  <sheetViews>
    <sheetView workbookViewId="0">
      <selection sqref="A1:E1"/>
    </sheetView>
  </sheetViews>
  <sheetFormatPr defaultRowHeight="12.75" x14ac:dyDescent="0.2"/>
  <cols>
    <col min="1" max="1" width="13.85546875" style="1" customWidth="1"/>
    <col min="2" max="2" width="13" style="1" customWidth="1"/>
    <col min="3" max="4" width="9.140625" style="1"/>
    <col min="5" max="5" width="18.140625" style="1" customWidth="1"/>
    <col min="6" max="6" width="11.7109375" style="1" customWidth="1"/>
    <col min="7" max="7" width="13" style="1" customWidth="1"/>
    <col min="8" max="8" width="12.85546875" style="1" customWidth="1"/>
    <col min="9" max="9" width="12.7109375" style="1" customWidth="1"/>
    <col min="10" max="11" width="9.7109375" style="1" customWidth="1"/>
    <col min="12" max="12" width="12" style="1" customWidth="1"/>
    <col min="13" max="13" width="12.140625" style="1" bestFit="1" customWidth="1"/>
    <col min="14" max="14" width="11.5703125" style="1" bestFit="1" customWidth="1"/>
    <col min="15" max="16" width="9.140625" style="1"/>
    <col min="17" max="17" width="10.5703125" style="1" bestFit="1" customWidth="1"/>
    <col min="18" max="21" width="9.140625" style="1"/>
    <col min="22" max="22" width="10.5703125" style="1" bestFit="1" customWidth="1"/>
    <col min="23" max="24" width="11.5703125" style="1" bestFit="1" customWidth="1"/>
    <col min="25" max="16384" width="9.140625" style="1"/>
  </cols>
  <sheetData>
    <row r="1" spans="1:52" ht="35.25" customHeight="1" x14ac:dyDescent="0.2">
      <c r="A1" s="75" t="s">
        <v>147</v>
      </c>
      <c r="B1" s="75"/>
      <c r="C1" s="75"/>
      <c r="D1" s="75"/>
      <c r="E1" s="75"/>
      <c r="S1" s="4" t="s">
        <v>5</v>
      </c>
      <c r="T1" s="1" t="s">
        <v>1</v>
      </c>
      <c r="U1" s="1" t="s">
        <v>2</v>
      </c>
      <c r="V1" s="1" t="s">
        <v>3</v>
      </c>
      <c r="W1" s="8" t="s">
        <v>6</v>
      </c>
      <c r="X1" s="1" t="s">
        <v>7</v>
      </c>
      <c r="Y1" s="1" t="s">
        <v>8</v>
      </c>
      <c r="Z1" s="1" t="s">
        <v>9</v>
      </c>
      <c r="AA1" s="8" t="s">
        <v>10</v>
      </c>
      <c r="AB1" s="8" t="s">
        <v>11</v>
      </c>
      <c r="AC1" s="8" t="s">
        <v>12</v>
      </c>
      <c r="AD1" s="8" t="s">
        <v>13</v>
      </c>
      <c r="AE1" s="1" t="s">
        <v>14</v>
      </c>
      <c r="AF1" s="1" t="s">
        <v>15</v>
      </c>
      <c r="AG1" s="1" t="s">
        <v>16</v>
      </c>
      <c r="AH1" s="1" t="s">
        <v>66</v>
      </c>
      <c r="AI1" s="1" t="s">
        <v>17</v>
      </c>
      <c r="AJ1" s="1" t="s">
        <v>67</v>
      </c>
      <c r="AK1" s="1" t="s">
        <v>18</v>
      </c>
      <c r="AL1" s="1" t="s">
        <v>19</v>
      </c>
      <c r="AM1" s="1" t="s">
        <v>20</v>
      </c>
      <c r="AN1" s="1" t="s">
        <v>21</v>
      </c>
      <c r="AO1" s="1" t="s">
        <v>70</v>
      </c>
      <c r="AP1" s="1" t="s">
        <v>68</v>
      </c>
      <c r="AQ1" s="1" t="s">
        <v>69</v>
      </c>
    </row>
    <row r="2" spans="1:52" ht="45" x14ac:dyDescent="0.2">
      <c r="A2" s="10"/>
      <c r="B2" s="10" t="s">
        <v>1</v>
      </c>
      <c r="C2" s="10" t="s">
        <v>2</v>
      </c>
      <c r="D2" s="10" t="s">
        <v>3</v>
      </c>
      <c r="E2" s="10" t="s">
        <v>74</v>
      </c>
      <c r="M2" s="2"/>
      <c r="O2" s="2"/>
      <c r="P2" s="2"/>
      <c r="S2" s="1" t="s">
        <v>0</v>
      </c>
      <c r="T2" s="5">
        <f>B3</f>
        <v>240</v>
      </c>
      <c r="U2" s="5">
        <f>C3</f>
        <v>1500</v>
      </c>
      <c r="V2" s="1">
        <v>50</v>
      </c>
      <c r="W2" s="8">
        <f>ROUNDDOWN(AA2/93,0)</f>
        <v>2</v>
      </c>
      <c r="X2" s="1">
        <f>U2-122</f>
        <v>1378</v>
      </c>
      <c r="Y2" s="1">
        <f>AE2*X2/1000</f>
        <v>2.7559999999999998</v>
      </c>
      <c r="Z2" s="1">
        <f>T2-54</f>
        <v>186</v>
      </c>
      <c r="AA2" s="8">
        <f>T2-3</f>
        <v>237</v>
      </c>
      <c r="AB2" s="8">
        <f>W2*93-1</f>
        <v>185</v>
      </c>
      <c r="AC2" s="8">
        <f>(AA2-AB2)/2</f>
        <v>26</v>
      </c>
      <c r="AD2" s="8">
        <v>18</v>
      </c>
      <c r="AE2" s="1">
        <f>IF(AC2&lt;AD2,(W2-1),IF(AC2&gt;=AD2,W2))</f>
        <v>2</v>
      </c>
      <c r="AF2" s="1">
        <f>IF(AY9&lt;AZ9,(AZ9),IF(AY9&gt;=AZ9,(AY9)))</f>
        <v>2</v>
      </c>
      <c r="AG2" s="1">
        <f>$AE2*2</f>
        <v>4</v>
      </c>
      <c r="AH2" s="1">
        <f>$AF2*2</f>
        <v>4</v>
      </c>
      <c r="AI2" s="1">
        <f>$AF2*2</f>
        <v>4</v>
      </c>
      <c r="AJ2" s="1">
        <v>4</v>
      </c>
      <c r="AK2" s="1">
        <f>$AE2*2</f>
        <v>4</v>
      </c>
      <c r="AL2" s="1">
        <f>$AE2*2</f>
        <v>4</v>
      </c>
      <c r="AM2" s="1">
        <v>2</v>
      </c>
      <c r="AN2" s="1">
        <f>AI2*2</f>
        <v>8</v>
      </c>
      <c r="AO2" s="1">
        <f>(B3/1000)*(C3/1000)</f>
        <v>0.36</v>
      </c>
      <c r="AP2" s="1">
        <f>(((B3/1000)+(C3/1000))*2)*(D3/1000)</f>
        <v>0.17400000000000002</v>
      </c>
      <c r="AQ2" s="1">
        <f>AO2+AP2</f>
        <v>0.53400000000000003</v>
      </c>
    </row>
    <row r="3" spans="1:52" ht="15" x14ac:dyDescent="0.2">
      <c r="A3" s="10" t="s">
        <v>0</v>
      </c>
      <c r="B3" s="11">
        <v>240</v>
      </c>
      <c r="C3" s="11">
        <v>1500</v>
      </c>
      <c r="D3" s="10">
        <v>50</v>
      </c>
      <c r="E3" s="13">
        <f>AJ7</f>
        <v>12.989576000000001</v>
      </c>
      <c r="F3" s="3"/>
      <c r="G3" s="3"/>
      <c r="H3" s="3"/>
      <c r="I3" s="3"/>
      <c r="J3" s="3"/>
      <c r="K3" s="3"/>
      <c r="L3" s="3"/>
      <c r="P3" s="2"/>
      <c r="S3" s="1" t="s">
        <v>4</v>
      </c>
      <c r="T3" s="5">
        <f>B4</f>
        <v>1000</v>
      </c>
      <c r="U3" s="5">
        <f>C4</f>
        <v>1000</v>
      </c>
      <c r="V3" s="1">
        <v>95</v>
      </c>
      <c r="W3" s="8">
        <f>ROUNDDOWN(AA3/49,0)</f>
        <v>20</v>
      </c>
      <c r="X3" s="1">
        <f>U3-122</f>
        <v>878</v>
      </c>
      <c r="Y3" s="1">
        <f>AE3*X3/1000</f>
        <v>16.681999999999999</v>
      </c>
      <c r="Z3" s="1">
        <f>T3-54</f>
        <v>946</v>
      </c>
      <c r="AA3" s="8">
        <f>T3-3</f>
        <v>997</v>
      </c>
      <c r="AB3" s="8">
        <f>W3*49-1</f>
        <v>979</v>
      </c>
      <c r="AC3" s="8">
        <f>(AA3-AB3)/2</f>
        <v>9</v>
      </c>
      <c r="AD3" s="8">
        <v>20</v>
      </c>
      <c r="AE3" s="1">
        <f>IF(AC3&lt;AD3,(W3-1),IF(AC3&gt;=AD3,W3))</f>
        <v>19</v>
      </c>
      <c r="AF3" s="1">
        <f>IF(AY10&lt;AZ10,(AZ10),IF(AY10&gt;=AZ10,(AY10)))</f>
        <v>2</v>
      </c>
      <c r="AG3" s="1">
        <f>$AE3*2</f>
        <v>38</v>
      </c>
      <c r="AH3" s="1">
        <f>$AF3*2</f>
        <v>4</v>
      </c>
      <c r="AI3" s="1">
        <f>$AF3*2</f>
        <v>4</v>
      </c>
      <c r="AJ3" s="1">
        <v>4</v>
      </c>
      <c r="AK3" s="1">
        <f>$AE3*2</f>
        <v>38</v>
      </c>
      <c r="AL3" s="1">
        <f>$AE3*2</f>
        <v>38</v>
      </c>
      <c r="AM3" s="1">
        <v>2</v>
      </c>
      <c r="AN3" s="1">
        <f>AI3*2</f>
        <v>8</v>
      </c>
      <c r="AO3" s="1">
        <f>(B4/1000)*(C4/1000)</f>
        <v>1</v>
      </c>
      <c r="AP3" s="1">
        <f>(((B4/1000)+(C4/1000))*2)*(D4/1000)</f>
        <v>0.38</v>
      </c>
      <c r="AQ3" s="1">
        <f>AO3+AP3</f>
        <v>1.38</v>
      </c>
    </row>
    <row r="4" spans="1:52" ht="15" x14ac:dyDescent="0.2">
      <c r="A4" s="10" t="s">
        <v>4</v>
      </c>
      <c r="B4" s="11">
        <v>1000</v>
      </c>
      <c r="C4" s="11">
        <v>1000</v>
      </c>
      <c r="D4" s="10">
        <v>95</v>
      </c>
      <c r="E4" s="13">
        <f>AJ8</f>
        <v>51.365799999999986</v>
      </c>
      <c r="F4" s="3"/>
      <c r="G4" s="3"/>
      <c r="H4" s="3"/>
      <c r="I4" s="3"/>
      <c r="J4" s="3"/>
      <c r="K4" s="3"/>
      <c r="L4" s="3"/>
      <c r="M4" s="3"/>
      <c r="P4" s="2"/>
    </row>
    <row r="5" spans="1:52" ht="51" x14ac:dyDescent="0.2">
      <c r="A5" s="10"/>
      <c r="B5" s="10"/>
      <c r="C5" s="10"/>
      <c r="D5" s="10"/>
      <c r="E5" s="10"/>
      <c r="F5" s="3"/>
      <c r="G5" s="2"/>
      <c r="M5" s="2"/>
      <c r="S5" s="4" t="s">
        <v>59</v>
      </c>
      <c r="T5" s="1" t="str">
        <f>T1</f>
        <v>length (x)</v>
      </c>
      <c r="U5" s="1" t="str">
        <f>U1</f>
        <v>height (y)</v>
      </c>
      <c r="V5" s="1" t="str">
        <f>V1</f>
        <v>depth (z)</v>
      </c>
      <c r="W5" s="1" t="s">
        <v>61</v>
      </c>
      <c r="X5" s="1" t="s">
        <v>62</v>
      </c>
      <c r="Y5" s="1" t="s">
        <v>24</v>
      </c>
      <c r="Z5" s="1" t="s">
        <v>64</v>
      </c>
      <c r="AA5" s="1" t="s">
        <v>63</v>
      </c>
      <c r="AB5" s="1" t="s">
        <v>25</v>
      </c>
      <c r="AC5" s="1" t="s">
        <v>26</v>
      </c>
      <c r="AD5" s="1" t="s">
        <v>71</v>
      </c>
      <c r="AE5" s="1" t="s">
        <v>65</v>
      </c>
      <c r="AF5" s="1" t="s">
        <v>27</v>
      </c>
      <c r="AG5" s="1" t="s">
        <v>28</v>
      </c>
      <c r="AH5" s="1" t="s">
        <v>72</v>
      </c>
      <c r="AI5" s="1" t="s">
        <v>73</v>
      </c>
      <c r="AJ5" s="4" t="s">
        <v>29</v>
      </c>
    </row>
    <row r="6" spans="1:52" ht="19.5" customHeight="1" x14ac:dyDescent="0.2">
      <c r="A6" s="74" t="s">
        <v>86</v>
      </c>
      <c r="B6" s="74"/>
      <c r="C6" s="74"/>
      <c r="D6" s="74"/>
      <c r="E6" s="74"/>
      <c r="M6" s="2"/>
      <c r="N6" s="2"/>
      <c r="S6" s="1" t="s">
        <v>60</v>
      </c>
      <c r="W6" s="1">
        <v>2.12</v>
      </c>
      <c r="X6" s="2">
        <v>0.77</v>
      </c>
      <c r="Y6" s="1">
        <v>6.0000000000000001E-3</v>
      </c>
      <c r="Z6" s="1">
        <v>4.0000000000000001E-3</v>
      </c>
      <c r="AA6" s="1">
        <v>2.4E-2</v>
      </c>
      <c r="AB6" s="6">
        <v>3.0000000000000001E-3</v>
      </c>
      <c r="AC6" s="6">
        <v>1E-3</v>
      </c>
      <c r="AD6" s="1">
        <f>11.78/1.5*1.2</f>
        <v>9.4239999999999995</v>
      </c>
      <c r="AE6" s="6">
        <v>5.1999999999999998E-2</v>
      </c>
      <c r="AF6" s="6">
        <v>2.1000000000000001E-2</v>
      </c>
      <c r="AG6" s="6">
        <v>0.08</v>
      </c>
      <c r="AH6" s="1">
        <v>3.9E-2</v>
      </c>
      <c r="AI6" s="1">
        <v>1.75</v>
      </c>
    </row>
    <row r="7" spans="1:52" ht="18.75" customHeight="1" x14ac:dyDescent="0.2">
      <c r="K7" s="3"/>
      <c r="L7" s="3"/>
      <c r="M7" s="3"/>
      <c r="S7" s="1" t="s">
        <v>0</v>
      </c>
      <c r="T7" s="5">
        <f t="shared" ref="T7:V8" si="0">T2</f>
        <v>240</v>
      </c>
      <c r="U7" s="5">
        <f t="shared" si="0"/>
        <v>1500</v>
      </c>
      <c r="V7" s="1">
        <f t="shared" si="0"/>
        <v>50</v>
      </c>
      <c r="W7" s="2">
        <f>W$6*Y2</f>
        <v>5.8427199999999999</v>
      </c>
      <c r="X7" s="2">
        <f>(Z2/1000)*X$6*2</f>
        <v>0.28644000000000003</v>
      </c>
      <c r="Y7" s="2">
        <f>Y$6*AG2</f>
        <v>2.4E-2</v>
      </c>
      <c r="Z7" s="2">
        <f>Z$6*AH2</f>
        <v>1.6E-2</v>
      </c>
      <c r="AA7" s="2">
        <f t="shared" ref="AA7:AC8" si="1">AA$6*AJ2</f>
        <v>9.6000000000000002E-2</v>
      </c>
      <c r="AB7" s="1">
        <f t="shared" si="1"/>
        <v>1.2E-2</v>
      </c>
      <c r="AC7" s="1">
        <f t="shared" si="1"/>
        <v>4.0000000000000001E-3</v>
      </c>
      <c r="AD7" s="2">
        <f>AQ2*AD$6</f>
        <v>5.0324160000000004</v>
      </c>
      <c r="AE7" s="1">
        <f>AE$6*AJ2</f>
        <v>0.20799999999999999</v>
      </c>
      <c r="AF7" s="1">
        <f>AF$6*AM2</f>
        <v>4.2000000000000003E-2</v>
      </c>
      <c r="AG7" s="1">
        <f>AN2*AG$6</f>
        <v>0.64</v>
      </c>
      <c r="AH7" s="1">
        <f>AH$6*AI2</f>
        <v>0.156</v>
      </c>
      <c r="AI7" s="1">
        <f>AO2*AI$6</f>
        <v>0.63</v>
      </c>
      <c r="AJ7" s="9">
        <f>SUM(W7:AI7)</f>
        <v>12.989576000000001</v>
      </c>
    </row>
    <row r="8" spans="1:52" ht="15" customHeight="1" x14ac:dyDescent="0.2">
      <c r="S8" s="1" t="s">
        <v>4</v>
      </c>
      <c r="T8" s="5">
        <f t="shared" si="0"/>
        <v>1000</v>
      </c>
      <c r="U8" s="5">
        <f t="shared" si="0"/>
        <v>1000</v>
      </c>
      <c r="V8" s="1">
        <f t="shared" si="0"/>
        <v>95</v>
      </c>
      <c r="W8" s="2">
        <f>W$6*Y3</f>
        <v>35.365839999999999</v>
      </c>
      <c r="X8" s="2">
        <f>(Z3/1000)*X$6*2</f>
        <v>1.4568399999999999</v>
      </c>
      <c r="Y8" s="2">
        <f>Y$6*AG3</f>
        <v>0.22800000000000001</v>
      </c>
      <c r="Z8" s="2">
        <f>Z$6*AH3</f>
        <v>1.6E-2</v>
      </c>
      <c r="AA8" s="2">
        <f t="shared" si="1"/>
        <v>9.6000000000000002E-2</v>
      </c>
      <c r="AB8" s="1">
        <f t="shared" si="1"/>
        <v>0.114</v>
      </c>
      <c r="AC8" s="1">
        <f t="shared" si="1"/>
        <v>3.7999999999999999E-2</v>
      </c>
      <c r="AD8" s="2">
        <f>AQ3*AD$6</f>
        <v>13.005119999999998</v>
      </c>
      <c r="AE8" s="1">
        <f>AE$6*AJ3</f>
        <v>0.20799999999999999</v>
      </c>
      <c r="AF8" s="1">
        <f>AF$6*AM3</f>
        <v>4.2000000000000003E-2</v>
      </c>
      <c r="AG8" s="1">
        <f>AN3*AG$6</f>
        <v>0.64</v>
      </c>
      <c r="AH8" s="1">
        <f>AH$6*AI3</f>
        <v>0.156</v>
      </c>
      <c r="AI8" s="1">
        <f>AO3*AI$6</f>
        <v>1.75</v>
      </c>
      <c r="AJ8" s="9">
        <f>SUM(W8:AH8)</f>
        <v>51.365799999999986</v>
      </c>
      <c r="AY8" s="1" t="s">
        <v>15</v>
      </c>
      <c r="AZ8" s="1" t="s">
        <v>22</v>
      </c>
    </row>
    <row r="9" spans="1:52" x14ac:dyDescent="0.2">
      <c r="AY9" s="1">
        <f>ROUNDUP(Z2/500,0)</f>
        <v>1</v>
      </c>
      <c r="AZ9" s="1">
        <v>2</v>
      </c>
    </row>
    <row r="10" spans="1:52" x14ac:dyDescent="0.2">
      <c r="AY10" s="1">
        <f>ROUNDUP(Z3/500,0)</f>
        <v>2</v>
      </c>
      <c r="AZ10" s="1">
        <v>2</v>
      </c>
    </row>
    <row r="16" spans="1:52" x14ac:dyDescent="0.2">
      <c r="B16" s="2"/>
    </row>
    <row r="21" spans="7:22" x14ac:dyDescent="0.2">
      <c r="H21" s="2"/>
      <c r="I21" s="2"/>
      <c r="O21" s="6"/>
      <c r="P21" s="6"/>
      <c r="Q21" s="6"/>
      <c r="R21" s="6"/>
      <c r="S21" s="6"/>
      <c r="T21" s="6"/>
      <c r="U21" s="6"/>
      <c r="V21" s="6"/>
    </row>
    <row r="22" spans="7:22" x14ac:dyDescent="0.2">
      <c r="G22" s="2"/>
      <c r="H22" s="2"/>
      <c r="I22" s="2"/>
      <c r="K22" s="2"/>
      <c r="L22" s="2"/>
      <c r="M22" s="2"/>
    </row>
    <row r="23" spans="7:22" x14ac:dyDescent="0.2">
      <c r="G23" s="2"/>
      <c r="H23" s="2"/>
      <c r="I23" s="2"/>
      <c r="K23" s="2"/>
      <c r="L23" s="2"/>
      <c r="M23" s="2"/>
    </row>
    <row r="111" spans="1:18" ht="63.75" x14ac:dyDescent="0.2">
      <c r="C111" s="1" t="s">
        <v>34</v>
      </c>
      <c r="D111" s="1" t="s">
        <v>7</v>
      </c>
      <c r="E111" s="1" t="s">
        <v>35</v>
      </c>
      <c r="F111" s="1" t="s">
        <v>36</v>
      </c>
      <c r="G111" s="1" t="s">
        <v>37</v>
      </c>
      <c r="H111" s="1" t="s">
        <v>38</v>
      </c>
      <c r="I111" s="1" t="s">
        <v>39</v>
      </c>
      <c r="J111" s="1" t="s">
        <v>12</v>
      </c>
      <c r="K111" s="1" t="s">
        <v>40</v>
      </c>
      <c r="L111" s="1" t="s">
        <v>41</v>
      </c>
      <c r="M111" s="1" t="s">
        <v>42</v>
      </c>
      <c r="N111" s="1" t="s">
        <v>43</v>
      </c>
      <c r="O111" s="1" t="s">
        <v>44</v>
      </c>
      <c r="P111" s="1" t="s">
        <v>31</v>
      </c>
      <c r="Q111" s="1" t="s">
        <v>32</v>
      </c>
      <c r="R111" s="1" t="s">
        <v>33</v>
      </c>
    </row>
    <row r="112" spans="1:18" x14ac:dyDescent="0.2">
      <c r="A112" s="1" t="s">
        <v>45</v>
      </c>
      <c r="Q112" s="3"/>
    </row>
    <row r="113" spans="1:18" x14ac:dyDescent="0.2">
      <c r="A113" s="1" t="s">
        <v>46</v>
      </c>
      <c r="B113" s="1">
        <f>1.996/0.093</f>
        <v>21.462365591397848</v>
      </c>
      <c r="C113" s="1">
        <f>ROUNDDOWN(B113,0)</f>
        <v>21</v>
      </c>
      <c r="D113" s="1">
        <f>0.21-0.115</f>
        <v>9.4999999999999987E-2</v>
      </c>
      <c r="E113" s="1">
        <f>C113*D113</f>
        <v>1.9949999999999997</v>
      </c>
      <c r="F113" s="1">
        <v>2000</v>
      </c>
      <c r="G113" s="1">
        <f>F113-47</f>
        <v>1953</v>
      </c>
      <c r="H113" s="1">
        <v>1997</v>
      </c>
      <c r="I113" s="1">
        <f>C113*93-1</f>
        <v>1952</v>
      </c>
      <c r="J113" s="1">
        <f>(H113-I113)/2</f>
        <v>22.5</v>
      </c>
      <c r="K113" s="1">
        <f>M113-48</f>
        <v>1946</v>
      </c>
      <c r="L113" s="1">
        <f>J113+20.5</f>
        <v>43</v>
      </c>
      <c r="M113" s="1">
        <f>H113-3</f>
        <v>1994</v>
      </c>
      <c r="N113" s="1">
        <v>4</v>
      </c>
      <c r="O113" s="1">
        <v>0.56699999999999995</v>
      </c>
      <c r="P113" s="2">
        <f>E113*O113</f>
        <v>1.1311649999999998</v>
      </c>
      <c r="Q113" s="3">
        <v>425.04409170000002</v>
      </c>
      <c r="R113" s="3">
        <f>Q113*P113</f>
        <v>480.79499998783041</v>
      </c>
    </row>
    <row r="114" spans="1:18" x14ac:dyDescent="0.2">
      <c r="A114" s="1" t="s">
        <v>47</v>
      </c>
      <c r="B114" s="1">
        <f>0.227/0.093</f>
        <v>2.4408602150537635</v>
      </c>
      <c r="C114" s="1">
        <f>ROUNDDOWN(B114,0)</f>
        <v>2</v>
      </c>
      <c r="D114" s="1">
        <f>2-0.115</f>
        <v>1.885</v>
      </c>
      <c r="E114" s="1">
        <f>C114*D114</f>
        <v>3.77</v>
      </c>
      <c r="F114" s="1">
        <v>210</v>
      </c>
      <c r="G114" s="1">
        <f>F114-47</f>
        <v>163</v>
      </c>
      <c r="H114" s="1">
        <v>207</v>
      </c>
      <c r="I114" s="1">
        <f>C114*93-1</f>
        <v>185</v>
      </c>
      <c r="J114" s="1">
        <f>(H114-I114)/2</f>
        <v>11</v>
      </c>
      <c r="K114" s="1">
        <f t="shared" ref="K114:K123" si="2">M114-48</f>
        <v>156</v>
      </c>
      <c r="L114" s="1">
        <f>J114+20.5</f>
        <v>31.5</v>
      </c>
      <c r="M114" s="1">
        <f t="shared" ref="M114:M123" si="3">H114-3</f>
        <v>204</v>
      </c>
      <c r="N114" s="1">
        <v>2</v>
      </c>
      <c r="O114" s="1">
        <v>0.56699999999999995</v>
      </c>
      <c r="P114" s="2">
        <f>E114*O114</f>
        <v>2.1375899999999999</v>
      </c>
      <c r="Q114" s="3">
        <v>425.04409170000002</v>
      </c>
      <c r="R114" s="3">
        <f t="shared" ref="R114:R123" si="4">Q114*P114</f>
        <v>908.56999997700302</v>
      </c>
    </row>
    <row r="115" spans="1:18" x14ac:dyDescent="0.2">
      <c r="A115" s="1" t="s">
        <v>48</v>
      </c>
      <c r="B115" s="1">
        <f>1.196/0.093</f>
        <v>12.86021505376344</v>
      </c>
      <c r="C115" s="1">
        <f>ROUNDDOWN(B115,0)</f>
        <v>12</v>
      </c>
      <c r="D115" s="1">
        <f>0.6-0.115</f>
        <v>0.48499999999999999</v>
      </c>
      <c r="E115" s="1">
        <f>C115*D115</f>
        <v>5.82</v>
      </c>
      <c r="F115" s="1">
        <v>1200</v>
      </c>
      <c r="G115" s="1">
        <f>F115-47</f>
        <v>1153</v>
      </c>
      <c r="H115" s="1">
        <v>1197</v>
      </c>
      <c r="I115" s="1">
        <f>C115*93-1</f>
        <v>1115</v>
      </c>
      <c r="J115" s="1">
        <f>(H115-I115)/2</f>
        <v>41</v>
      </c>
      <c r="K115" s="1">
        <f t="shared" si="2"/>
        <v>1146</v>
      </c>
      <c r="L115" s="1">
        <f>J115+20.5</f>
        <v>61.5</v>
      </c>
      <c r="M115" s="1">
        <f t="shared" si="3"/>
        <v>1194</v>
      </c>
      <c r="N115" s="1">
        <v>3</v>
      </c>
      <c r="O115" s="1">
        <v>0.56699999999999995</v>
      </c>
      <c r="P115" s="2">
        <f>E115*O115</f>
        <v>3.2999399999999999</v>
      </c>
      <c r="Q115" s="3">
        <v>425.04409170000002</v>
      </c>
      <c r="R115" s="3">
        <f t="shared" si="4"/>
        <v>1402.619999964498</v>
      </c>
    </row>
    <row r="116" spans="1:18" x14ac:dyDescent="0.2">
      <c r="A116" s="1" t="s">
        <v>49</v>
      </c>
      <c r="B116" s="1">
        <f>0.596/0.093</f>
        <v>6.408602150537634</v>
      </c>
      <c r="C116" s="1">
        <f>ROUNDDOWN(B116,0)</f>
        <v>6</v>
      </c>
      <c r="D116" s="1">
        <f>0.6-0.115</f>
        <v>0.48499999999999999</v>
      </c>
      <c r="E116" s="1">
        <f>C116*D116</f>
        <v>2.91</v>
      </c>
      <c r="F116" s="1">
        <v>600</v>
      </c>
      <c r="G116" s="1">
        <f>F116-47</f>
        <v>553</v>
      </c>
      <c r="H116" s="1">
        <v>597</v>
      </c>
      <c r="I116" s="1">
        <f>C116*93-1</f>
        <v>557</v>
      </c>
      <c r="J116" s="1">
        <f>(H116-I116)/2</f>
        <v>20</v>
      </c>
      <c r="K116" s="1">
        <f t="shared" si="2"/>
        <v>546</v>
      </c>
      <c r="L116" s="1">
        <f>J116+20.5</f>
        <v>40.5</v>
      </c>
      <c r="M116" s="1">
        <f t="shared" si="3"/>
        <v>594</v>
      </c>
      <c r="N116" s="1">
        <v>2</v>
      </c>
      <c r="O116" s="1">
        <v>0.56699999999999995</v>
      </c>
      <c r="P116" s="2">
        <f>E116*O116</f>
        <v>1.6499699999999999</v>
      </c>
      <c r="Q116" s="3">
        <v>425.04409170000002</v>
      </c>
      <c r="R116" s="3">
        <f t="shared" si="4"/>
        <v>701.309999982249</v>
      </c>
    </row>
    <row r="117" spans="1:18" x14ac:dyDescent="0.2">
      <c r="P117" s="2"/>
      <c r="Q117" s="3"/>
      <c r="R117" s="3"/>
    </row>
    <row r="118" spans="1:18" x14ac:dyDescent="0.2">
      <c r="P118" s="2"/>
      <c r="Q118" s="3"/>
      <c r="R118" s="3"/>
    </row>
    <row r="119" spans="1:18" x14ac:dyDescent="0.2">
      <c r="A119" s="1" t="s">
        <v>50</v>
      </c>
      <c r="P119" s="2"/>
      <c r="Q119" s="3"/>
      <c r="R119" s="3"/>
    </row>
    <row r="120" spans="1:18" x14ac:dyDescent="0.2">
      <c r="A120" s="1" t="s">
        <v>46</v>
      </c>
      <c r="B120" s="1">
        <f>1.997/0.049</f>
        <v>40.755102040816325</v>
      </c>
      <c r="C120" s="1">
        <f>ROUNDDOWN(B120,0)</f>
        <v>40</v>
      </c>
      <c r="D120" s="1">
        <f>0.21-0.115</f>
        <v>9.4999999999999987E-2</v>
      </c>
      <c r="E120" s="1">
        <f>C120*D120</f>
        <v>3.7999999999999994</v>
      </c>
      <c r="F120" s="1">
        <v>2000</v>
      </c>
      <c r="G120" s="1">
        <f>F120-47</f>
        <v>1953</v>
      </c>
      <c r="H120" s="1">
        <v>1997</v>
      </c>
      <c r="I120" s="1">
        <f>C120*49-1</f>
        <v>1959</v>
      </c>
      <c r="J120" s="1">
        <f>(H120-I120)/2</f>
        <v>19</v>
      </c>
      <c r="K120" s="1">
        <f t="shared" si="2"/>
        <v>1946</v>
      </c>
      <c r="L120" s="1">
        <f>J120-1.5</f>
        <v>17.5</v>
      </c>
      <c r="M120" s="1">
        <f t="shared" si="3"/>
        <v>1994</v>
      </c>
      <c r="N120" s="1">
        <v>4</v>
      </c>
      <c r="O120" s="1">
        <v>0.56699999999999995</v>
      </c>
      <c r="P120" s="2">
        <f>E120*O120</f>
        <v>2.1545999999999994</v>
      </c>
      <c r="Q120" s="3">
        <v>425.04409170000002</v>
      </c>
      <c r="R120" s="3">
        <f t="shared" si="4"/>
        <v>915.79999997681978</v>
      </c>
    </row>
    <row r="121" spans="1:18" x14ac:dyDescent="0.2">
      <c r="A121" s="1" t="s">
        <v>47</v>
      </c>
      <c r="B121" s="1">
        <f>0.227/0.049</f>
        <v>4.6326530612244898</v>
      </c>
      <c r="C121" s="1">
        <f>ROUNDDOWN(B121,0)</f>
        <v>4</v>
      </c>
      <c r="D121" s="1">
        <f>2-0.115</f>
        <v>1.885</v>
      </c>
      <c r="E121" s="1">
        <f>C121*D121</f>
        <v>7.54</v>
      </c>
      <c r="F121" s="1">
        <v>200</v>
      </c>
      <c r="G121" s="1">
        <f>F121-47</f>
        <v>153</v>
      </c>
      <c r="H121" s="1">
        <v>227</v>
      </c>
      <c r="I121" s="1">
        <f>C121*49-1</f>
        <v>195</v>
      </c>
      <c r="J121" s="1">
        <f>(H121-I121)/2</f>
        <v>16</v>
      </c>
      <c r="K121" s="1">
        <f t="shared" si="2"/>
        <v>176</v>
      </c>
      <c r="L121" s="1">
        <f>J121-1.5</f>
        <v>14.5</v>
      </c>
      <c r="M121" s="1">
        <f t="shared" si="3"/>
        <v>224</v>
      </c>
      <c r="N121" s="1">
        <v>2</v>
      </c>
      <c r="O121" s="1">
        <v>0.56699999999999995</v>
      </c>
      <c r="P121" s="2">
        <f>E121*O121</f>
        <v>4.2751799999999998</v>
      </c>
      <c r="Q121" s="3">
        <v>425.04409170000002</v>
      </c>
      <c r="R121" s="3">
        <f t="shared" si="4"/>
        <v>1817.139999954006</v>
      </c>
    </row>
    <row r="122" spans="1:18" x14ac:dyDescent="0.2">
      <c r="A122" s="1" t="s">
        <v>48</v>
      </c>
      <c r="B122" s="1">
        <f>1.197/0.049</f>
        <v>24.428571428571431</v>
      </c>
      <c r="C122" s="1">
        <v>23</v>
      </c>
      <c r="D122" s="1">
        <f>0.6-0.115</f>
        <v>0.48499999999999999</v>
      </c>
      <c r="E122" s="1">
        <f>C122*D122</f>
        <v>11.154999999999999</v>
      </c>
      <c r="F122" s="1">
        <v>1200</v>
      </c>
      <c r="G122" s="1">
        <f>F122-47</f>
        <v>1153</v>
      </c>
      <c r="H122" s="1">
        <v>1197</v>
      </c>
      <c r="I122" s="1">
        <f>C122*49-1</f>
        <v>1126</v>
      </c>
      <c r="J122" s="1">
        <f>(H122-I122)/2</f>
        <v>35.5</v>
      </c>
      <c r="K122" s="1">
        <f t="shared" si="2"/>
        <v>1146</v>
      </c>
      <c r="L122" s="1">
        <f>J122-1.5</f>
        <v>34</v>
      </c>
      <c r="M122" s="1">
        <f t="shared" si="3"/>
        <v>1194</v>
      </c>
      <c r="N122" s="1">
        <v>3</v>
      </c>
      <c r="O122" s="1">
        <v>0.56699999999999995</v>
      </c>
      <c r="P122" s="2">
        <f>E122*O122</f>
        <v>6.3248849999999992</v>
      </c>
      <c r="Q122" s="3">
        <v>425.04409170000002</v>
      </c>
      <c r="R122" s="3">
        <f t="shared" si="4"/>
        <v>2688.3549999319544</v>
      </c>
    </row>
    <row r="123" spans="1:18" x14ac:dyDescent="0.2">
      <c r="A123" s="1" t="s">
        <v>49</v>
      </c>
      <c r="B123" s="1">
        <f>0.596/0.049</f>
        <v>12.163265306122447</v>
      </c>
      <c r="C123" s="1">
        <v>11</v>
      </c>
      <c r="D123" s="1">
        <f>0.6-0.115</f>
        <v>0.48499999999999999</v>
      </c>
      <c r="E123" s="1">
        <f>C123*D123</f>
        <v>5.335</v>
      </c>
      <c r="F123" s="1">
        <v>600</v>
      </c>
      <c r="G123" s="1">
        <f>F123-47</f>
        <v>553</v>
      </c>
      <c r="H123" s="1">
        <v>597</v>
      </c>
      <c r="I123" s="1">
        <f>C123*49-1</f>
        <v>538</v>
      </c>
      <c r="J123" s="1">
        <f>(H123-I123)/2</f>
        <v>29.5</v>
      </c>
      <c r="K123" s="1">
        <f t="shared" si="2"/>
        <v>546</v>
      </c>
      <c r="L123" s="1">
        <f>J123-1.5</f>
        <v>28</v>
      </c>
      <c r="M123" s="1">
        <f t="shared" si="3"/>
        <v>594</v>
      </c>
      <c r="N123" s="1">
        <v>2</v>
      </c>
      <c r="O123" s="1">
        <v>0.56699999999999995</v>
      </c>
      <c r="P123" s="2">
        <f>E123*O123</f>
        <v>3.0249449999999998</v>
      </c>
      <c r="Q123" s="3">
        <v>425</v>
      </c>
      <c r="R123" s="3">
        <f t="shared" si="4"/>
        <v>1285.601625</v>
      </c>
    </row>
    <row r="125" spans="1:18" ht="38.25" x14ac:dyDescent="0.2">
      <c r="I125" s="7"/>
      <c r="J125" s="7" t="s">
        <v>51</v>
      </c>
      <c r="K125" s="7" t="s">
        <v>7</v>
      </c>
      <c r="L125" s="7" t="s">
        <v>52</v>
      </c>
    </row>
    <row r="126" spans="1:18" x14ac:dyDescent="0.2">
      <c r="I126" s="7" t="s">
        <v>53</v>
      </c>
      <c r="J126" s="7">
        <v>2</v>
      </c>
      <c r="K126" s="7">
        <v>1.885</v>
      </c>
      <c r="L126" s="7">
        <f>J126*K126</f>
        <v>3.77</v>
      </c>
      <c r="O126" s="3">
        <f>0.241*L126*1000</f>
        <v>908.56999999999994</v>
      </c>
    </row>
    <row r="127" spans="1:18" x14ac:dyDescent="0.2">
      <c r="I127" s="7"/>
      <c r="J127" s="7"/>
      <c r="K127" s="7"/>
      <c r="L127" s="7"/>
      <c r="N127" s="2"/>
      <c r="O127" s="3"/>
    </row>
    <row r="128" spans="1:18" x14ac:dyDescent="0.2">
      <c r="I128" s="7" t="s">
        <v>54</v>
      </c>
      <c r="J128" s="7">
        <v>6</v>
      </c>
      <c r="K128" s="7">
        <v>0.48499999999999999</v>
      </c>
      <c r="L128" s="7">
        <f t="shared" ref="L128:L133" si="5">J128*K128</f>
        <v>2.91</v>
      </c>
      <c r="N128" s="2">
        <f>L128*O114</f>
        <v>1.6499699999999999</v>
      </c>
      <c r="O128" s="3">
        <f t="shared" ref="O128:O134" si="6">0.241*L128*1000</f>
        <v>701.31</v>
      </c>
    </row>
    <row r="129" spans="9:15" x14ac:dyDescent="0.2">
      <c r="I129" s="7" t="s">
        <v>55</v>
      </c>
      <c r="J129" s="7">
        <v>12</v>
      </c>
      <c r="K129" s="7">
        <v>0.48499999999999999</v>
      </c>
      <c r="L129" s="7">
        <f t="shared" si="5"/>
        <v>5.82</v>
      </c>
      <c r="N129" s="2">
        <f>L129*O115</f>
        <v>3.2999399999999999</v>
      </c>
      <c r="O129" s="3">
        <f t="shared" si="6"/>
        <v>1402.62</v>
      </c>
    </row>
    <row r="130" spans="9:15" x14ac:dyDescent="0.2">
      <c r="I130" s="7"/>
      <c r="J130" s="7"/>
      <c r="K130" s="7"/>
      <c r="L130" s="7"/>
      <c r="N130" s="2"/>
      <c r="O130" s="3"/>
    </row>
    <row r="131" spans="9:15" x14ac:dyDescent="0.2">
      <c r="I131" s="7"/>
      <c r="J131" s="7"/>
      <c r="K131" s="7"/>
      <c r="L131" s="7"/>
      <c r="N131" s="2"/>
      <c r="O131" s="3"/>
    </row>
    <row r="132" spans="9:15" x14ac:dyDescent="0.2">
      <c r="I132" s="7" t="s">
        <v>56</v>
      </c>
      <c r="J132" s="7">
        <v>12</v>
      </c>
      <c r="K132" s="7">
        <v>0.48499999999999999</v>
      </c>
      <c r="L132" s="7">
        <f t="shared" si="5"/>
        <v>5.82</v>
      </c>
      <c r="N132" s="2">
        <f>L132*O121</f>
        <v>3.2999399999999999</v>
      </c>
      <c r="O132" s="3">
        <f t="shared" si="6"/>
        <v>1402.62</v>
      </c>
    </row>
    <row r="133" spans="9:15" x14ac:dyDescent="0.2">
      <c r="I133" s="7" t="s">
        <v>57</v>
      </c>
      <c r="J133" s="7">
        <v>21</v>
      </c>
      <c r="K133" s="7">
        <v>9.5000000000000001E-2</v>
      </c>
      <c r="L133" s="7">
        <f t="shared" si="5"/>
        <v>1.9950000000000001</v>
      </c>
      <c r="N133" s="2">
        <f>L133*O122</f>
        <v>1.131165</v>
      </c>
      <c r="O133" s="3">
        <f t="shared" si="6"/>
        <v>480.79500000000002</v>
      </c>
    </row>
    <row r="134" spans="9:15" x14ac:dyDescent="0.2">
      <c r="I134" s="7" t="s">
        <v>58</v>
      </c>
      <c r="J134" s="7">
        <v>6</v>
      </c>
      <c r="K134" s="7">
        <v>0.48499999999999999</v>
      </c>
      <c r="L134" s="7">
        <f>J134*K134</f>
        <v>2.91</v>
      </c>
      <c r="N134" s="2">
        <f>L134*O120</f>
        <v>1.6499699999999999</v>
      </c>
      <c r="O134" s="3">
        <f t="shared" si="6"/>
        <v>701.31</v>
      </c>
    </row>
  </sheetData>
  <mergeCells count="2">
    <mergeCell ref="A6:E6"/>
    <mergeCell ref="A1:E1"/>
  </mergeCells>
  <phoneticPr fontId="0" type="noConversion"/>
  <conditionalFormatting sqref="AE3">
    <cfRule type="cellIs" dxfId="1" priority="1" stopIfTrue="1" operator="lessThan">
      <formula>$W$3</formula>
    </cfRule>
  </conditionalFormatting>
  <conditionalFormatting sqref="AE2">
    <cfRule type="cellIs" dxfId="0" priority="2" stopIfTrue="1" operator="lessThan">
      <formula>$W$2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3"/>
  <sheetViews>
    <sheetView workbookViewId="0">
      <selection sqref="A1:XFD1048576"/>
    </sheetView>
  </sheetViews>
  <sheetFormatPr defaultRowHeight="12.75" x14ac:dyDescent="0.2"/>
  <cols>
    <col min="1" max="1" width="13.85546875" style="1" customWidth="1"/>
    <col min="2" max="2" width="13" style="1" customWidth="1"/>
    <col min="3" max="4" width="9.140625" style="1"/>
    <col min="5" max="5" width="14.28515625" style="1" customWidth="1"/>
    <col min="6" max="6" width="11.7109375" style="1" customWidth="1"/>
    <col min="7" max="7" width="13" style="1" customWidth="1"/>
    <col min="8" max="8" width="12.85546875" style="1" customWidth="1"/>
    <col min="9" max="9" width="12.28515625" style="1" customWidth="1"/>
    <col min="10" max="11" width="9.7109375" style="1" customWidth="1"/>
    <col min="12" max="12" width="12" style="1" customWidth="1"/>
    <col min="13" max="13" width="11.5703125" style="1" bestFit="1" customWidth="1"/>
    <col min="14" max="20" width="9.140625" style="1"/>
    <col min="21" max="21" width="10.5703125" style="1" bestFit="1" customWidth="1"/>
    <col min="22" max="23" width="11.5703125" style="1" bestFit="1" customWidth="1"/>
    <col min="24" max="16384" width="9.140625" style="1"/>
  </cols>
  <sheetData>
    <row r="1" spans="1:53" ht="19.5" customHeight="1" x14ac:dyDescent="0.2">
      <c r="A1" s="75" t="s">
        <v>87</v>
      </c>
      <c r="B1" s="75"/>
      <c r="C1" s="75"/>
      <c r="D1" s="75"/>
      <c r="E1" s="75"/>
      <c r="S1" s="4" t="s">
        <v>5</v>
      </c>
      <c r="T1" s="1" t="s">
        <v>1</v>
      </c>
      <c r="U1" s="1" t="s">
        <v>2</v>
      </c>
      <c r="V1" s="1" t="s">
        <v>3</v>
      </c>
      <c r="W1" s="1" t="s">
        <v>75</v>
      </c>
      <c r="X1" s="1" t="s">
        <v>7</v>
      </c>
      <c r="Y1" s="1" t="s">
        <v>76</v>
      </c>
      <c r="Z1" s="1" t="s">
        <v>77</v>
      </c>
      <c r="AA1" s="1" t="s">
        <v>78</v>
      </c>
    </row>
    <row r="2" spans="1:53" ht="60" x14ac:dyDescent="0.2">
      <c r="A2" s="10"/>
      <c r="B2" s="10" t="s">
        <v>1</v>
      </c>
      <c r="C2" s="10" t="s">
        <v>2</v>
      </c>
      <c r="D2" s="10" t="s">
        <v>3</v>
      </c>
      <c r="E2" s="10" t="s">
        <v>74</v>
      </c>
      <c r="N2" s="2"/>
      <c r="O2" s="2"/>
      <c r="S2" s="1" t="s">
        <v>0</v>
      </c>
      <c r="T2" s="5">
        <f>B3</f>
        <v>208</v>
      </c>
      <c r="U2" s="5">
        <f>C3</f>
        <v>2000</v>
      </c>
      <c r="V2" s="1">
        <v>50</v>
      </c>
      <c r="W2" s="1">
        <f>ROUNDDOWN((B3+2)/52,0)</f>
        <v>4</v>
      </c>
      <c r="X2" s="1">
        <f>C3-5</f>
        <v>1995</v>
      </c>
      <c r="Y2" s="1">
        <f>W2*X2/1000</f>
        <v>7.98</v>
      </c>
      <c r="Z2" s="1">
        <f>W2*2-2</f>
        <v>6</v>
      </c>
      <c r="AA2" s="1">
        <f>W2*2</f>
        <v>8</v>
      </c>
    </row>
    <row r="3" spans="1:53" ht="15" x14ac:dyDescent="0.2">
      <c r="A3" s="10"/>
      <c r="B3" s="11">
        <v>208</v>
      </c>
      <c r="C3" s="11">
        <v>2000</v>
      </c>
      <c r="D3" s="10">
        <v>110</v>
      </c>
      <c r="E3" s="12">
        <f>AE6</f>
        <v>23.635880000000004</v>
      </c>
      <c r="F3" s="3"/>
      <c r="G3" s="3"/>
      <c r="H3" s="3"/>
      <c r="I3" s="3"/>
      <c r="J3" s="3"/>
      <c r="K3" s="2"/>
      <c r="L3" s="3"/>
      <c r="O3" s="2"/>
    </row>
    <row r="4" spans="1:53" ht="18" customHeight="1" x14ac:dyDescent="0.2">
      <c r="A4" s="10"/>
      <c r="B4" s="10"/>
      <c r="C4" s="10"/>
      <c r="D4" s="10"/>
      <c r="E4" s="10"/>
      <c r="F4" s="3"/>
      <c r="S4" s="4" t="s">
        <v>23</v>
      </c>
      <c r="T4" s="1" t="str">
        <f>T1</f>
        <v>length (x)</v>
      </c>
      <c r="U4" s="1" t="str">
        <f>U1</f>
        <v>height (y)</v>
      </c>
      <c r="V4" s="1" t="str">
        <f>V1</f>
        <v>depth (z)</v>
      </c>
      <c r="W4" s="1" t="s">
        <v>61</v>
      </c>
      <c r="X4" s="1" t="s">
        <v>79</v>
      </c>
      <c r="Y4" s="1" t="s">
        <v>80</v>
      </c>
      <c r="Z4" s="1" t="s">
        <v>85</v>
      </c>
      <c r="AA4" s="6" t="s">
        <v>81</v>
      </c>
      <c r="AB4" s="1" t="s">
        <v>82</v>
      </c>
      <c r="AC4" s="1" t="s">
        <v>83</v>
      </c>
      <c r="AD4" s="1" t="s">
        <v>84</v>
      </c>
      <c r="AE4" s="4" t="s">
        <v>29</v>
      </c>
    </row>
    <row r="5" spans="1:53" ht="14.25" customHeight="1" x14ac:dyDescent="0.2">
      <c r="A5" s="74" t="s">
        <v>86</v>
      </c>
      <c r="B5" s="74"/>
      <c r="C5" s="74"/>
      <c r="D5" s="74"/>
      <c r="E5" s="74"/>
      <c r="M5" s="2"/>
      <c r="S5" s="1" t="s">
        <v>30</v>
      </c>
      <c r="W5" s="2">
        <f>2.766</f>
        <v>2.766</v>
      </c>
      <c r="X5" s="1">
        <v>0.05</v>
      </c>
      <c r="Y5" s="1">
        <v>0.02</v>
      </c>
      <c r="Z5" s="2">
        <v>4.5999999999999999E-2</v>
      </c>
      <c r="AA5" s="6">
        <v>0.02</v>
      </c>
      <c r="AB5" s="1">
        <v>0.05</v>
      </c>
      <c r="AC5" s="1">
        <v>2.1000000000000001E-2</v>
      </c>
      <c r="AD5" s="2">
        <f>W5*0.2</f>
        <v>0.55320000000000003</v>
      </c>
    </row>
    <row r="6" spans="1:53" ht="15.75" customHeight="1" x14ac:dyDescent="0.2">
      <c r="K6" s="3"/>
      <c r="L6" s="3"/>
      <c r="S6" s="1" t="s">
        <v>0</v>
      </c>
      <c r="T6" s="5">
        <f>T2</f>
        <v>208</v>
      </c>
      <c r="U6" s="5">
        <f>U2</f>
        <v>2000</v>
      </c>
      <c r="V6" s="1">
        <f>V2</f>
        <v>50</v>
      </c>
      <c r="W6" s="2">
        <f>W$5*Y2</f>
        <v>22.072680000000002</v>
      </c>
      <c r="X6" s="2">
        <f>Z2*X5</f>
        <v>0.30000000000000004</v>
      </c>
      <c r="Y6" s="2">
        <f>Z2*Y5</f>
        <v>0.12</v>
      </c>
      <c r="Z6" s="2">
        <f>Z5*AA2</f>
        <v>0.36799999999999999</v>
      </c>
      <c r="AA6" s="6">
        <f>W2*AA5</f>
        <v>0.08</v>
      </c>
      <c r="AB6" s="2">
        <f>(ROUNDUP(B3/1000,0))*2*AB5</f>
        <v>0.1</v>
      </c>
      <c r="AC6" s="1">
        <f>2*AC5</f>
        <v>4.2000000000000003E-2</v>
      </c>
      <c r="AD6" s="2">
        <f>AD5</f>
        <v>0.55320000000000003</v>
      </c>
      <c r="AE6" s="2">
        <f>SUM(W6:AD6)</f>
        <v>23.635880000000004</v>
      </c>
    </row>
    <row r="7" spans="1:53" ht="12.75" customHeight="1" x14ac:dyDescent="0.2">
      <c r="AZ7" s="1" t="s">
        <v>15</v>
      </c>
      <c r="BA7" s="1" t="s">
        <v>22</v>
      </c>
    </row>
    <row r="8" spans="1:53" x14ac:dyDescent="0.2">
      <c r="AZ8" s="1">
        <f>ROUNDUP(Z2/500,0)</f>
        <v>1</v>
      </c>
      <c r="BA8" s="1">
        <v>2</v>
      </c>
    </row>
    <row r="13" spans="1:53" x14ac:dyDescent="0.2">
      <c r="B13" s="2"/>
    </row>
  </sheetData>
  <mergeCells count="2">
    <mergeCell ref="A5:E5"/>
    <mergeCell ref="A1:E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1"/>
  <sheetViews>
    <sheetView workbookViewId="0">
      <selection sqref="A1:L1"/>
    </sheetView>
  </sheetViews>
  <sheetFormatPr defaultRowHeight="12.75" x14ac:dyDescent="0.2"/>
  <cols>
    <col min="1" max="1" width="14.85546875" bestFit="1" customWidth="1"/>
    <col min="2" max="2" width="10.85546875" bestFit="1" customWidth="1"/>
    <col min="6" max="6" width="11.42578125" hidden="1" customWidth="1"/>
    <col min="7" max="7" width="11.5703125" hidden="1" customWidth="1"/>
    <col min="8" max="8" width="10.5703125" hidden="1" customWidth="1"/>
    <col min="9" max="9" width="11.5703125" hidden="1" customWidth="1"/>
    <col min="10" max="10" width="10.5703125" hidden="1" customWidth="1"/>
    <col min="11" max="12" width="10.42578125" hidden="1" customWidth="1"/>
    <col min="13" max="13" width="9.85546875" hidden="1" customWidth="1"/>
    <col min="14" max="17" width="11" hidden="1" customWidth="1"/>
    <col min="18" max="18" width="11" customWidth="1"/>
  </cols>
  <sheetData>
    <row r="1" spans="1:18" ht="19.5" thickBot="1" x14ac:dyDescent="0.35">
      <c r="A1" s="84" t="s">
        <v>146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8" ht="19.5" customHeight="1" thickBot="1" x14ac:dyDescent="0.35">
      <c r="A2" s="14"/>
      <c r="B2" s="15"/>
      <c r="C2" s="16"/>
      <c r="D2" s="16"/>
      <c r="E2" s="16"/>
      <c r="F2" s="87" t="s">
        <v>88</v>
      </c>
      <c r="G2" s="88"/>
      <c r="H2" s="88"/>
      <c r="I2" s="89"/>
      <c r="J2" s="90" t="s">
        <v>89</v>
      </c>
      <c r="K2" s="91"/>
      <c r="L2" s="92" t="s">
        <v>90</v>
      </c>
      <c r="M2" s="82" t="s">
        <v>91</v>
      </c>
      <c r="N2" s="80" t="s">
        <v>92</v>
      </c>
      <c r="O2" s="80" t="s">
        <v>142</v>
      </c>
      <c r="P2" s="80" t="s">
        <v>143</v>
      </c>
      <c r="Q2" s="80" t="s">
        <v>144</v>
      </c>
      <c r="R2" s="80" t="s">
        <v>145</v>
      </c>
    </row>
    <row r="3" spans="1:18" ht="56.25" x14ac:dyDescent="0.25">
      <c r="A3" s="17"/>
      <c r="B3" s="18" t="s">
        <v>93</v>
      </c>
      <c r="C3" s="19" t="s">
        <v>94</v>
      </c>
      <c r="D3" s="19" t="s">
        <v>95</v>
      </c>
      <c r="E3" s="20" t="s">
        <v>96</v>
      </c>
      <c r="F3" s="21" t="s">
        <v>97</v>
      </c>
      <c r="G3" s="22" t="s">
        <v>98</v>
      </c>
      <c r="H3" s="22" t="s">
        <v>99</v>
      </c>
      <c r="I3" s="23" t="s">
        <v>100</v>
      </c>
      <c r="J3" s="24" t="s">
        <v>101</v>
      </c>
      <c r="K3" s="25" t="s">
        <v>102</v>
      </c>
      <c r="L3" s="93"/>
      <c r="M3" s="83"/>
      <c r="N3" s="81"/>
      <c r="O3" s="81"/>
      <c r="P3" s="81"/>
      <c r="Q3" s="81"/>
      <c r="R3" s="81"/>
    </row>
    <row r="4" spans="1:18" x14ac:dyDescent="0.2">
      <c r="A4" s="76" t="s">
        <v>103</v>
      </c>
      <c r="B4" s="26" t="s">
        <v>104</v>
      </c>
      <c r="C4" s="27">
        <v>700</v>
      </c>
      <c r="D4" s="27">
        <v>700</v>
      </c>
      <c r="E4" s="28">
        <v>50</v>
      </c>
      <c r="F4" s="29">
        <v>3</v>
      </c>
      <c r="G4" s="27"/>
      <c r="H4" s="27"/>
      <c r="I4" s="28"/>
      <c r="J4" s="30">
        <v>560</v>
      </c>
      <c r="K4" s="31"/>
      <c r="L4" s="32">
        <f>F4</f>
        <v>3</v>
      </c>
      <c r="M4" s="29">
        <f t="shared" ref="M4:M34" si="0">L4*(J4/1000)+L4*(K4/1000)</f>
        <v>1.6800000000000002</v>
      </c>
      <c r="N4" s="59">
        <f>M4*5.3</f>
        <v>8.9039999999999999</v>
      </c>
      <c r="O4" s="28">
        <f>SUM(F4:I4)*0.1</f>
        <v>0.30000000000000004</v>
      </c>
      <c r="P4" s="28">
        <v>0.4</v>
      </c>
      <c r="Q4" s="59">
        <f>((C4/1000)*(D4/1000)+(((C4/1000)+(D4/1000))*2)*(E4/1000))*9.424</f>
        <v>5.9371199999999984</v>
      </c>
      <c r="R4" s="59">
        <f>SUM(N4:Q4)</f>
        <v>15.541119999999999</v>
      </c>
    </row>
    <row r="5" spans="1:18" x14ac:dyDescent="0.2">
      <c r="A5" s="76"/>
      <c r="B5" s="26" t="s">
        <v>105</v>
      </c>
      <c r="C5" s="27">
        <v>1050</v>
      </c>
      <c r="D5" s="27">
        <v>1050</v>
      </c>
      <c r="E5" s="28">
        <v>50</v>
      </c>
      <c r="F5" s="29"/>
      <c r="G5" s="27"/>
      <c r="H5" s="27">
        <v>10</v>
      </c>
      <c r="I5" s="28"/>
      <c r="J5" s="30">
        <v>900</v>
      </c>
      <c r="K5" s="31"/>
      <c r="L5" s="32">
        <v>4</v>
      </c>
      <c r="M5" s="29">
        <f t="shared" si="0"/>
        <v>3.6</v>
      </c>
      <c r="N5" s="59">
        <f>M5*5.3</f>
        <v>19.079999999999998</v>
      </c>
      <c r="O5" s="28">
        <f t="shared" ref="O5:O34" si="1">SUM(F5:I5)*0.1</f>
        <v>1</v>
      </c>
      <c r="P5" s="28">
        <v>0.4</v>
      </c>
      <c r="Q5" s="59">
        <f t="shared" ref="Q5:Q34" si="2">((C5/1000)*(D5/1000)+(((C5/1000)+(D5/1000))*2)*(E5/1000))*9.424</f>
        <v>12.369</v>
      </c>
      <c r="R5" s="59">
        <f t="shared" ref="R5:R34" si="3">SUM(N5:Q5)</f>
        <v>32.848999999999997</v>
      </c>
    </row>
    <row r="6" spans="1:18" x14ac:dyDescent="0.2">
      <c r="A6" s="76"/>
      <c r="B6" s="33" t="s">
        <v>106</v>
      </c>
      <c r="C6" s="34">
        <v>700</v>
      </c>
      <c r="D6" s="34">
        <v>700</v>
      </c>
      <c r="E6" s="35">
        <v>95</v>
      </c>
      <c r="F6" s="36"/>
      <c r="G6" s="34">
        <v>3</v>
      </c>
      <c r="H6" s="34"/>
      <c r="I6" s="35"/>
      <c r="J6" s="37"/>
      <c r="K6" s="38">
        <v>560</v>
      </c>
      <c r="L6" s="39">
        <v>3</v>
      </c>
      <c r="M6" s="36">
        <f t="shared" si="0"/>
        <v>1.6800000000000002</v>
      </c>
      <c r="N6" s="60">
        <f>M6*8.827</f>
        <v>14.829360000000001</v>
      </c>
      <c r="O6" s="35">
        <f t="shared" si="1"/>
        <v>0.30000000000000004</v>
      </c>
      <c r="P6" s="35">
        <v>0.4</v>
      </c>
      <c r="Q6" s="60">
        <f t="shared" si="2"/>
        <v>7.1245439999999984</v>
      </c>
      <c r="R6" s="60">
        <f t="shared" si="3"/>
        <v>22.653904000000001</v>
      </c>
    </row>
    <row r="7" spans="1:18" ht="13.5" thickBot="1" x14ac:dyDescent="0.25">
      <c r="A7" s="77"/>
      <c r="B7" s="33" t="s">
        <v>107</v>
      </c>
      <c r="C7" s="34">
        <v>1050</v>
      </c>
      <c r="D7" s="34">
        <v>1050</v>
      </c>
      <c r="E7" s="35">
        <v>95</v>
      </c>
      <c r="F7" s="36"/>
      <c r="G7" s="34"/>
      <c r="H7" s="34"/>
      <c r="I7" s="35">
        <v>10</v>
      </c>
      <c r="J7" s="37"/>
      <c r="K7" s="38">
        <v>900</v>
      </c>
      <c r="L7" s="39">
        <v>4</v>
      </c>
      <c r="M7" s="36">
        <f t="shared" si="0"/>
        <v>3.6</v>
      </c>
      <c r="N7" s="60">
        <f>M7*8.827</f>
        <v>31.777200000000001</v>
      </c>
      <c r="O7" s="35">
        <f t="shared" si="1"/>
        <v>1</v>
      </c>
      <c r="P7" s="35">
        <v>0.4</v>
      </c>
      <c r="Q7" s="60">
        <f t="shared" si="2"/>
        <v>14.150136</v>
      </c>
      <c r="R7" s="60">
        <f t="shared" si="3"/>
        <v>47.327336000000003</v>
      </c>
    </row>
    <row r="8" spans="1:18" x14ac:dyDescent="0.2">
      <c r="A8" s="76" t="s">
        <v>108</v>
      </c>
      <c r="B8" s="26" t="s">
        <v>109</v>
      </c>
      <c r="C8" s="27">
        <v>240</v>
      </c>
      <c r="D8" s="27">
        <v>1400</v>
      </c>
      <c r="E8" s="28">
        <v>50</v>
      </c>
      <c r="F8" s="29">
        <v>2</v>
      </c>
      <c r="G8" s="27"/>
      <c r="H8" s="27"/>
      <c r="I8" s="28"/>
      <c r="J8" s="30">
        <v>560</v>
      </c>
      <c r="K8" s="31"/>
      <c r="L8" s="32">
        <v>2</v>
      </c>
      <c r="M8" s="29">
        <f t="shared" si="0"/>
        <v>1.1200000000000001</v>
      </c>
      <c r="N8" s="59">
        <f>M8*5.3</f>
        <v>5.9359999999999999</v>
      </c>
      <c r="O8" s="28">
        <f t="shared" si="1"/>
        <v>0.2</v>
      </c>
      <c r="P8" s="28">
        <v>0.4</v>
      </c>
      <c r="Q8" s="59">
        <f t="shared" si="2"/>
        <v>4.7119999999999997</v>
      </c>
      <c r="R8" s="59">
        <f t="shared" si="3"/>
        <v>11.248000000000001</v>
      </c>
    </row>
    <row r="9" spans="1:18" x14ac:dyDescent="0.2">
      <c r="A9" s="76"/>
      <c r="B9" s="26" t="s">
        <v>110</v>
      </c>
      <c r="C9" s="27">
        <v>240</v>
      </c>
      <c r="D9" s="27">
        <v>1900</v>
      </c>
      <c r="E9" s="28">
        <v>50</v>
      </c>
      <c r="F9" s="29">
        <v>3</v>
      </c>
      <c r="G9" s="27"/>
      <c r="H9" s="27"/>
      <c r="I9" s="28"/>
      <c r="J9" s="30">
        <v>560</v>
      </c>
      <c r="K9" s="31"/>
      <c r="L9" s="32">
        <v>3</v>
      </c>
      <c r="M9" s="29">
        <f t="shared" si="0"/>
        <v>1.6800000000000002</v>
      </c>
      <c r="N9" s="59">
        <f t="shared" ref="N9:N12" si="4">M9*5.3</f>
        <v>8.9039999999999999</v>
      </c>
      <c r="O9" s="28">
        <f t="shared" si="1"/>
        <v>0.30000000000000004</v>
      </c>
      <c r="P9" s="28">
        <v>0.4</v>
      </c>
      <c r="Q9" s="59">
        <f t="shared" si="2"/>
        <v>6.3140799999999988</v>
      </c>
      <c r="R9" s="59">
        <f t="shared" si="3"/>
        <v>15.91808</v>
      </c>
    </row>
    <row r="10" spans="1:18" x14ac:dyDescent="0.2">
      <c r="A10" s="76"/>
      <c r="B10" s="26" t="s">
        <v>111</v>
      </c>
      <c r="C10" s="27">
        <v>460</v>
      </c>
      <c r="D10" s="27">
        <v>750</v>
      </c>
      <c r="E10" s="28">
        <v>50</v>
      </c>
      <c r="F10" s="29">
        <v>2</v>
      </c>
      <c r="G10" s="27"/>
      <c r="H10" s="27"/>
      <c r="I10" s="28"/>
      <c r="J10" s="30">
        <v>560</v>
      </c>
      <c r="K10" s="31"/>
      <c r="L10" s="32">
        <v>2</v>
      </c>
      <c r="M10" s="29">
        <f t="shared" si="0"/>
        <v>1.1200000000000001</v>
      </c>
      <c r="N10" s="59">
        <f t="shared" si="4"/>
        <v>5.9359999999999999</v>
      </c>
      <c r="O10" s="28">
        <f t="shared" si="1"/>
        <v>0.2</v>
      </c>
      <c r="P10" s="28">
        <v>0.4</v>
      </c>
      <c r="Q10" s="59">
        <f t="shared" si="2"/>
        <v>4.3915839999999999</v>
      </c>
      <c r="R10" s="59">
        <f t="shared" si="3"/>
        <v>10.927584</v>
      </c>
    </row>
    <row r="11" spans="1:18" x14ac:dyDescent="0.2">
      <c r="A11" s="76"/>
      <c r="B11" s="26" t="s">
        <v>112</v>
      </c>
      <c r="C11" s="27">
        <v>460</v>
      </c>
      <c r="D11" s="27">
        <v>1400</v>
      </c>
      <c r="E11" s="28">
        <v>50</v>
      </c>
      <c r="F11" s="29">
        <v>4</v>
      </c>
      <c r="G11" s="27"/>
      <c r="H11" s="27"/>
      <c r="I11" s="28"/>
      <c r="J11" s="30">
        <v>560</v>
      </c>
      <c r="K11" s="31"/>
      <c r="L11" s="32">
        <v>4</v>
      </c>
      <c r="M11" s="29">
        <f t="shared" si="0"/>
        <v>2.2400000000000002</v>
      </c>
      <c r="N11" s="59">
        <f t="shared" si="4"/>
        <v>11.872</v>
      </c>
      <c r="O11" s="28">
        <f t="shared" si="1"/>
        <v>0.4</v>
      </c>
      <c r="P11" s="28">
        <v>0.4</v>
      </c>
      <c r="Q11" s="59">
        <f t="shared" si="2"/>
        <v>7.8219200000000004</v>
      </c>
      <c r="R11" s="59">
        <f t="shared" si="3"/>
        <v>20.493920000000003</v>
      </c>
    </row>
    <row r="12" spans="1:18" x14ac:dyDescent="0.2">
      <c r="A12" s="76"/>
      <c r="B12" s="26" t="s">
        <v>113</v>
      </c>
      <c r="C12" s="27">
        <v>460</v>
      </c>
      <c r="D12" s="27">
        <v>1900</v>
      </c>
      <c r="E12" s="28">
        <v>50</v>
      </c>
      <c r="F12" s="29">
        <v>6</v>
      </c>
      <c r="G12" s="27"/>
      <c r="H12" s="27"/>
      <c r="I12" s="28"/>
      <c r="J12" s="30">
        <v>560</v>
      </c>
      <c r="K12" s="31"/>
      <c r="L12" s="32">
        <v>6</v>
      </c>
      <c r="M12" s="29">
        <f t="shared" si="0"/>
        <v>3.3600000000000003</v>
      </c>
      <c r="N12" s="59">
        <f t="shared" si="4"/>
        <v>17.808</v>
      </c>
      <c r="O12" s="28">
        <f t="shared" si="1"/>
        <v>0.60000000000000009</v>
      </c>
      <c r="P12" s="28">
        <v>0.4</v>
      </c>
      <c r="Q12" s="59">
        <f t="shared" si="2"/>
        <v>10.460639999999998</v>
      </c>
      <c r="R12" s="59">
        <f t="shared" si="3"/>
        <v>29.268639999999998</v>
      </c>
    </row>
    <row r="13" spans="1:18" x14ac:dyDescent="0.2">
      <c r="A13" s="76"/>
      <c r="B13" s="33" t="s">
        <v>114</v>
      </c>
      <c r="C13" s="34">
        <v>240</v>
      </c>
      <c r="D13" s="34">
        <v>1400</v>
      </c>
      <c r="E13" s="35">
        <v>95</v>
      </c>
      <c r="F13" s="36"/>
      <c r="G13" s="34">
        <v>2</v>
      </c>
      <c r="H13" s="34"/>
      <c r="I13" s="35"/>
      <c r="J13" s="37"/>
      <c r="K13" s="38">
        <v>560</v>
      </c>
      <c r="L13" s="39">
        <v>2</v>
      </c>
      <c r="M13" s="36">
        <f t="shared" si="0"/>
        <v>1.1200000000000001</v>
      </c>
      <c r="N13" s="60">
        <f>M13*8.827</f>
        <v>9.8862400000000008</v>
      </c>
      <c r="O13" s="35">
        <f t="shared" si="1"/>
        <v>0.2</v>
      </c>
      <c r="P13" s="35">
        <v>0.4</v>
      </c>
      <c r="Q13" s="60">
        <f t="shared" si="2"/>
        <v>6.1029823999999993</v>
      </c>
      <c r="R13" s="60">
        <f t="shared" si="3"/>
        <v>16.589222400000001</v>
      </c>
    </row>
    <row r="14" spans="1:18" x14ac:dyDescent="0.2">
      <c r="A14" s="76"/>
      <c r="B14" s="33" t="s">
        <v>115</v>
      </c>
      <c r="C14" s="34">
        <v>240</v>
      </c>
      <c r="D14" s="34">
        <v>1900</v>
      </c>
      <c r="E14" s="35">
        <v>95</v>
      </c>
      <c r="F14" s="36"/>
      <c r="G14" s="34">
        <v>3</v>
      </c>
      <c r="H14" s="34"/>
      <c r="I14" s="35"/>
      <c r="J14" s="37"/>
      <c r="K14" s="38">
        <v>560</v>
      </c>
      <c r="L14" s="39">
        <v>3</v>
      </c>
      <c r="M14" s="36">
        <f t="shared" si="0"/>
        <v>1.6800000000000002</v>
      </c>
      <c r="N14" s="60">
        <f>M14*8.827</f>
        <v>14.829360000000001</v>
      </c>
      <c r="O14" s="35">
        <f t="shared" si="1"/>
        <v>0.30000000000000004</v>
      </c>
      <c r="P14" s="35">
        <v>0.4</v>
      </c>
      <c r="Q14" s="60">
        <f t="shared" si="2"/>
        <v>8.1291423999999992</v>
      </c>
      <c r="R14" s="60">
        <f t="shared" si="3"/>
        <v>23.658502400000003</v>
      </c>
    </row>
    <row r="15" spans="1:18" x14ac:dyDescent="0.2">
      <c r="A15" s="76"/>
      <c r="B15" s="33" t="s">
        <v>116</v>
      </c>
      <c r="C15" s="34">
        <v>460</v>
      </c>
      <c r="D15" s="34">
        <v>750</v>
      </c>
      <c r="E15" s="35">
        <v>95</v>
      </c>
      <c r="F15" s="36"/>
      <c r="G15" s="34">
        <v>2</v>
      </c>
      <c r="H15" s="34"/>
      <c r="I15" s="35"/>
      <c r="J15" s="37"/>
      <c r="K15" s="38">
        <v>560</v>
      </c>
      <c r="L15" s="39">
        <v>2</v>
      </c>
      <c r="M15" s="36">
        <f t="shared" si="0"/>
        <v>1.1200000000000001</v>
      </c>
      <c r="N15" s="60">
        <f t="shared" ref="N15:N17" si="5">M15*8.827</f>
        <v>9.8862400000000008</v>
      </c>
      <c r="O15" s="35">
        <f t="shared" si="1"/>
        <v>0.2</v>
      </c>
      <c r="P15" s="35">
        <v>0.4</v>
      </c>
      <c r="Q15" s="60">
        <f t="shared" si="2"/>
        <v>5.4178575999999996</v>
      </c>
      <c r="R15" s="60">
        <f t="shared" si="3"/>
        <v>15.9040976</v>
      </c>
    </row>
    <row r="16" spans="1:18" x14ac:dyDescent="0.2">
      <c r="A16" s="76"/>
      <c r="B16" s="33" t="s">
        <v>117</v>
      </c>
      <c r="C16" s="34">
        <v>460</v>
      </c>
      <c r="D16" s="34">
        <v>1400</v>
      </c>
      <c r="E16" s="35">
        <v>95</v>
      </c>
      <c r="F16" s="36"/>
      <c r="G16" s="34">
        <v>4</v>
      </c>
      <c r="H16" s="34"/>
      <c r="I16" s="35"/>
      <c r="J16" s="37"/>
      <c r="K16" s="38">
        <v>560</v>
      </c>
      <c r="L16" s="39">
        <v>4</v>
      </c>
      <c r="M16" s="36">
        <f t="shared" si="0"/>
        <v>2.2400000000000002</v>
      </c>
      <c r="N16" s="60">
        <f t="shared" si="5"/>
        <v>19.772480000000002</v>
      </c>
      <c r="O16" s="35">
        <f t="shared" si="1"/>
        <v>0.4</v>
      </c>
      <c r="P16" s="35">
        <v>0.4</v>
      </c>
      <c r="Q16" s="60">
        <f t="shared" si="2"/>
        <v>9.3994976000000001</v>
      </c>
      <c r="R16" s="60">
        <f t="shared" si="3"/>
        <v>29.971977599999999</v>
      </c>
    </row>
    <row r="17" spans="1:18" x14ac:dyDescent="0.2">
      <c r="A17" s="76"/>
      <c r="B17" s="33" t="s">
        <v>118</v>
      </c>
      <c r="C17" s="34">
        <v>460</v>
      </c>
      <c r="D17" s="34">
        <v>1900</v>
      </c>
      <c r="E17" s="35">
        <v>95</v>
      </c>
      <c r="F17" s="36"/>
      <c r="G17" s="34">
        <v>6</v>
      </c>
      <c r="H17" s="34"/>
      <c r="I17" s="35"/>
      <c r="J17" s="37"/>
      <c r="K17" s="38">
        <v>560</v>
      </c>
      <c r="L17" s="39">
        <v>6</v>
      </c>
      <c r="M17" s="36">
        <f t="shared" si="0"/>
        <v>3.3600000000000003</v>
      </c>
      <c r="N17" s="60">
        <f t="shared" si="5"/>
        <v>29.658720000000002</v>
      </c>
      <c r="O17" s="35">
        <f t="shared" si="1"/>
        <v>0.60000000000000009</v>
      </c>
      <c r="P17" s="35">
        <v>0.4</v>
      </c>
      <c r="Q17" s="60">
        <f t="shared" si="2"/>
        <v>12.462297599999999</v>
      </c>
      <c r="R17" s="60">
        <f t="shared" si="3"/>
        <v>43.121017600000002</v>
      </c>
    </row>
    <row r="18" spans="1:18" x14ac:dyDescent="0.2">
      <c r="A18" s="76" t="s">
        <v>119</v>
      </c>
      <c r="B18" s="26" t="s">
        <v>120</v>
      </c>
      <c r="C18" s="27">
        <v>1100</v>
      </c>
      <c r="D18" s="27">
        <v>290</v>
      </c>
      <c r="E18" s="28">
        <v>50</v>
      </c>
      <c r="F18" s="29"/>
      <c r="G18" s="27"/>
      <c r="H18" s="27">
        <v>2</v>
      </c>
      <c r="I18" s="28"/>
      <c r="J18" s="30">
        <v>180</v>
      </c>
      <c r="K18" s="31"/>
      <c r="L18" s="32">
        <v>4</v>
      </c>
      <c r="M18" s="29">
        <f t="shared" si="0"/>
        <v>0.72</v>
      </c>
      <c r="N18" s="59">
        <f>M18*5.3</f>
        <v>3.8159999999999998</v>
      </c>
      <c r="O18" s="28">
        <f t="shared" si="1"/>
        <v>0.2</v>
      </c>
      <c r="P18" s="28">
        <v>0.4</v>
      </c>
      <c r="Q18" s="59">
        <f t="shared" si="2"/>
        <v>4.316192</v>
      </c>
      <c r="R18" s="59">
        <f t="shared" si="3"/>
        <v>8.7321920000000013</v>
      </c>
    </row>
    <row r="19" spans="1:18" x14ac:dyDescent="0.2">
      <c r="A19" s="76"/>
      <c r="B19" s="26" t="s">
        <v>121</v>
      </c>
      <c r="C19" s="27">
        <v>1600</v>
      </c>
      <c r="D19" s="27">
        <v>290</v>
      </c>
      <c r="E19" s="28">
        <v>50</v>
      </c>
      <c r="F19" s="29"/>
      <c r="G19" s="27"/>
      <c r="H19" s="27">
        <v>3</v>
      </c>
      <c r="I19" s="28"/>
      <c r="J19" s="30">
        <v>180</v>
      </c>
      <c r="K19" s="31"/>
      <c r="L19" s="32">
        <v>6</v>
      </c>
      <c r="M19" s="29">
        <f t="shared" si="0"/>
        <v>1.08</v>
      </c>
      <c r="N19" s="59">
        <f t="shared" ref="N19:N26" si="6">M19*5.3</f>
        <v>5.7240000000000002</v>
      </c>
      <c r="O19" s="28">
        <f t="shared" si="1"/>
        <v>0.30000000000000004</v>
      </c>
      <c r="P19" s="28">
        <v>0.4</v>
      </c>
      <c r="Q19" s="59">
        <f t="shared" si="2"/>
        <v>6.1538719999999998</v>
      </c>
      <c r="R19" s="59">
        <f t="shared" si="3"/>
        <v>12.577871999999999</v>
      </c>
    </row>
    <row r="20" spans="1:18" x14ac:dyDescent="0.2">
      <c r="A20" s="76"/>
      <c r="B20" s="26" t="s">
        <v>122</v>
      </c>
      <c r="C20" s="27">
        <v>2100</v>
      </c>
      <c r="D20" s="27">
        <v>290</v>
      </c>
      <c r="E20" s="28">
        <v>50</v>
      </c>
      <c r="F20" s="29"/>
      <c r="G20" s="27"/>
      <c r="H20" s="27">
        <v>4</v>
      </c>
      <c r="I20" s="28"/>
      <c r="J20" s="30">
        <v>180</v>
      </c>
      <c r="K20" s="31"/>
      <c r="L20" s="32">
        <v>8</v>
      </c>
      <c r="M20" s="29">
        <f t="shared" si="0"/>
        <v>1.44</v>
      </c>
      <c r="N20" s="59">
        <f t="shared" si="6"/>
        <v>7.6319999999999997</v>
      </c>
      <c r="O20" s="28">
        <f t="shared" si="1"/>
        <v>0.4</v>
      </c>
      <c r="P20" s="28">
        <v>0.4</v>
      </c>
      <c r="Q20" s="59">
        <f t="shared" si="2"/>
        <v>7.9915519999999995</v>
      </c>
      <c r="R20" s="59">
        <f t="shared" si="3"/>
        <v>16.423552000000001</v>
      </c>
    </row>
    <row r="21" spans="1:18" x14ac:dyDescent="0.2">
      <c r="A21" s="76"/>
      <c r="B21" s="26" t="s">
        <v>123</v>
      </c>
      <c r="C21" s="27">
        <v>1100</v>
      </c>
      <c r="D21" s="27">
        <v>470</v>
      </c>
      <c r="E21" s="28">
        <v>50</v>
      </c>
      <c r="F21" s="29"/>
      <c r="G21" s="27"/>
      <c r="H21" s="27">
        <v>4</v>
      </c>
      <c r="I21" s="28"/>
      <c r="J21" s="30">
        <v>360</v>
      </c>
      <c r="K21" s="31"/>
      <c r="L21" s="32">
        <v>4</v>
      </c>
      <c r="M21" s="29">
        <f t="shared" si="0"/>
        <v>1.44</v>
      </c>
      <c r="N21" s="59">
        <f t="shared" si="6"/>
        <v>7.6319999999999997</v>
      </c>
      <c r="O21" s="28">
        <f t="shared" si="1"/>
        <v>0.4</v>
      </c>
      <c r="P21" s="28">
        <v>0.4</v>
      </c>
      <c r="Q21" s="59">
        <f t="shared" si="2"/>
        <v>6.3517760000000001</v>
      </c>
      <c r="R21" s="59">
        <f t="shared" si="3"/>
        <v>14.783776</v>
      </c>
    </row>
    <row r="22" spans="1:18" x14ac:dyDescent="0.2">
      <c r="A22" s="76"/>
      <c r="B22" s="26" t="s">
        <v>124</v>
      </c>
      <c r="C22" s="27">
        <v>1600</v>
      </c>
      <c r="D22" s="27">
        <v>470</v>
      </c>
      <c r="E22" s="28">
        <v>50</v>
      </c>
      <c r="F22" s="29"/>
      <c r="G22" s="27"/>
      <c r="H22" s="27">
        <v>6</v>
      </c>
      <c r="I22" s="28"/>
      <c r="J22" s="30">
        <v>360</v>
      </c>
      <c r="K22" s="31"/>
      <c r="L22" s="32">
        <v>6</v>
      </c>
      <c r="M22" s="29">
        <f t="shared" si="0"/>
        <v>2.16</v>
      </c>
      <c r="N22" s="59">
        <f t="shared" si="6"/>
        <v>11.448</v>
      </c>
      <c r="O22" s="28">
        <f t="shared" si="1"/>
        <v>0.60000000000000009</v>
      </c>
      <c r="P22" s="28">
        <v>0.4</v>
      </c>
      <c r="Q22" s="59">
        <f t="shared" si="2"/>
        <v>9.0376159999999999</v>
      </c>
      <c r="R22" s="59">
        <f t="shared" si="3"/>
        <v>21.485616</v>
      </c>
    </row>
    <row r="23" spans="1:18" x14ac:dyDescent="0.2">
      <c r="A23" s="76"/>
      <c r="B23" s="26" t="s">
        <v>125</v>
      </c>
      <c r="C23" s="27">
        <v>2100</v>
      </c>
      <c r="D23" s="27">
        <v>470</v>
      </c>
      <c r="E23" s="28">
        <v>50</v>
      </c>
      <c r="F23" s="29"/>
      <c r="G23" s="27"/>
      <c r="H23" s="27">
        <v>8</v>
      </c>
      <c r="I23" s="28"/>
      <c r="J23" s="30">
        <v>360</v>
      </c>
      <c r="K23" s="31"/>
      <c r="L23" s="32">
        <v>8</v>
      </c>
      <c r="M23" s="29">
        <f t="shared" si="0"/>
        <v>2.88</v>
      </c>
      <c r="N23" s="59">
        <f t="shared" si="6"/>
        <v>15.263999999999999</v>
      </c>
      <c r="O23" s="28">
        <f t="shared" si="1"/>
        <v>0.8</v>
      </c>
      <c r="P23" s="28">
        <v>0.4</v>
      </c>
      <c r="Q23" s="59">
        <f t="shared" si="2"/>
        <v>11.723455999999999</v>
      </c>
      <c r="R23" s="59">
        <f t="shared" si="3"/>
        <v>28.187455999999997</v>
      </c>
    </row>
    <row r="24" spans="1:18" x14ac:dyDescent="0.2">
      <c r="A24" s="76"/>
      <c r="B24" s="26" t="s">
        <v>126</v>
      </c>
      <c r="C24" s="27">
        <v>1100</v>
      </c>
      <c r="D24" s="27">
        <v>650</v>
      </c>
      <c r="E24" s="28">
        <v>50</v>
      </c>
      <c r="F24" s="29"/>
      <c r="G24" s="27"/>
      <c r="H24" s="27">
        <v>6</v>
      </c>
      <c r="I24" s="28"/>
      <c r="J24" s="30">
        <v>540</v>
      </c>
      <c r="K24" s="31"/>
      <c r="L24" s="32">
        <v>4</v>
      </c>
      <c r="M24" s="29">
        <f t="shared" si="0"/>
        <v>2.16</v>
      </c>
      <c r="N24" s="59">
        <f t="shared" si="6"/>
        <v>11.448</v>
      </c>
      <c r="O24" s="28">
        <f t="shared" si="1"/>
        <v>0.60000000000000009</v>
      </c>
      <c r="P24" s="28">
        <v>0.4</v>
      </c>
      <c r="Q24" s="59">
        <f t="shared" si="2"/>
        <v>8.387360000000001</v>
      </c>
      <c r="R24" s="59">
        <f t="shared" si="3"/>
        <v>20.835360000000001</v>
      </c>
    </row>
    <row r="25" spans="1:18" x14ac:dyDescent="0.2">
      <c r="A25" s="76"/>
      <c r="B25" s="26" t="s">
        <v>127</v>
      </c>
      <c r="C25" s="27">
        <v>1600</v>
      </c>
      <c r="D25" s="27">
        <v>650</v>
      </c>
      <c r="E25" s="28">
        <v>50</v>
      </c>
      <c r="F25" s="29"/>
      <c r="G25" s="27"/>
      <c r="H25" s="27">
        <v>9</v>
      </c>
      <c r="I25" s="28"/>
      <c r="J25" s="30">
        <v>540</v>
      </c>
      <c r="K25" s="31"/>
      <c r="L25" s="32">
        <v>6</v>
      </c>
      <c r="M25" s="29">
        <f t="shared" si="0"/>
        <v>3.24</v>
      </c>
      <c r="N25" s="59">
        <f t="shared" si="6"/>
        <v>17.172000000000001</v>
      </c>
      <c r="O25" s="28">
        <f t="shared" si="1"/>
        <v>0.9</v>
      </c>
      <c r="P25" s="28">
        <v>0.4</v>
      </c>
      <c r="Q25" s="59">
        <f t="shared" si="2"/>
        <v>11.92136</v>
      </c>
      <c r="R25" s="59">
        <f t="shared" si="3"/>
        <v>30.393359999999998</v>
      </c>
    </row>
    <row r="26" spans="1:18" x14ac:dyDescent="0.2">
      <c r="A26" s="76"/>
      <c r="B26" s="26" t="s">
        <v>128</v>
      </c>
      <c r="C26" s="27">
        <v>2100</v>
      </c>
      <c r="D26" s="27">
        <v>650</v>
      </c>
      <c r="E26" s="28">
        <v>50</v>
      </c>
      <c r="F26" s="29"/>
      <c r="G26" s="27"/>
      <c r="H26" s="27">
        <v>12</v>
      </c>
      <c r="I26" s="28"/>
      <c r="J26" s="30">
        <v>540</v>
      </c>
      <c r="K26" s="31"/>
      <c r="L26" s="32">
        <v>8</v>
      </c>
      <c r="M26" s="29">
        <f t="shared" si="0"/>
        <v>4.32</v>
      </c>
      <c r="N26" s="59">
        <f t="shared" si="6"/>
        <v>22.896000000000001</v>
      </c>
      <c r="O26" s="28">
        <f t="shared" si="1"/>
        <v>1.2000000000000002</v>
      </c>
      <c r="P26" s="28">
        <v>0.4</v>
      </c>
      <c r="Q26" s="59">
        <f t="shared" si="2"/>
        <v>15.455360000000001</v>
      </c>
      <c r="R26" s="59">
        <f t="shared" si="3"/>
        <v>39.951360000000001</v>
      </c>
    </row>
    <row r="27" spans="1:18" x14ac:dyDescent="0.2">
      <c r="A27" s="76"/>
      <c r="B27" s="33" t="s">
        <v>129</v>
      </c>
      <c r="C27" s="34">
        <v>1100</v>
      </c>
      <c r="D27" s="34">
        <v>290</v>
      </c>
      <c r="E27" s="35">
        <v>95</v>
      </c>
      <c r="F27" s="36"/>
      <c r="G27" s="34"/>
      <c r="H27" s="34"/>
      <c r="I27" s="35">
        <v>2</v>
      </c>
      <c r="J27" s="37"/>
      <c r="K27" s="38">
        <v>180</v>
      </c>
      <c r="L27" s="39">
        <v>4</v>
      </c>
      <c r="M27" s="36">
        <f t="shared" si="0"/>
        <v>0.72</v>
      </c>
      <c r="N27" s="60">
        <f t="shared" ref="N27:N34" si="7">M27*8.827</f>
        <v>6.3554399999999998</v>
      </c>
      <c r="O27" s="35">
        <f t="shared" si="1"/>
        <v>0.2</v>
      </c>
      <c r="P27" s="35">
        <v>0.4</v>
      </c>
      <c r="Q27" s="60">
        <f t="shared" si="2"/>
        <v>5.4951343999999995</v>
      </c>
      <c r="R27" s="60">
        <f t="shared" si="3"/>
        <v>12.450574400000001</v>
      </c>
    </row>
    <row r="28" spans="1:18" x14ac:dyDescent="0.2">
      <c r="A28" s="76"/>
      <c r="B28" s="33" t="s">
        <v>130</v>
      </c>
      <c r="C28" s="34">
        <v>1600</v>
      </c>
      <c r="D28" s="34">
        <v>290</v>
      </c>
      <c r="E28" s="35">
        <v>95</v>
      </c>
      <c r="F28" s="36"/>
      <c r="G28" s="34"/>
      <c r="H28" s="34"/>
      <c r="I28" s="35">
        <v>3</v>
      </c>
      <c r="J28" s="37"/>
      <c r="K28" s="38">
        <v>180</v>
      </c>
      <c r="L28" s="39">
        <v>6</v>
      </c>
      <c r="M28" s="36">
        <f t="shared" si="0"/>
        <v>1.08</v>
      </c>
      <c r="N28" s="60">
        <f t="shared" si="7"/>
        <v>9.5331600000000005</v>
      </c>
      <c r="O28" s="35">
        <f t="shared" si="1"/>
        <v>0.30000000000000004</v>
      </c>
      <c r="P28" s="35">
        <v>0.4</v>
      </c>
      <c r="Q28" s="60">
        <f t="shared" si="2"/>
        <v>7.7568943999999993</v>
      </c>
      <c r="R28" s="60">
        <f t="shared" si="3"/>
        <v>17.990054400000002</v>
      </c>
    </row>
    <row r="29" spans="1:18" x14ac:dyDescent="0.2">
      <c r="A29" s="76"/>
      <c r="B29" s="33" t="s">
        <v>131</v>
      </c>
      <c r="C29" s="34">
        <v>2100</v>
      </c>
      <c r="D29" s="34">
        <v>290</v>
      </c>
      <c r="E29" s="35">
        <v>95</v>
      </c>
      <c r="F29" s="36"/>
      <c r="G29" s="34"/>
      <c r="H29" s="34"/>
      <c r="I29" s="35">
        <v>4</v>
      </c>
      <c r="J29" s="37"/>
      <c r="K29" s="38">
        <v>180</v>
      </c>
      <c r="L29" s="39">
        <v>8</v>
      </c>
      <c r="M29" s="36">
        <f t="shared" si="0"/>
        <v>1.44</v>
      </c>
      <c r="N29" s="60">
        <f t="shared" si="7"/>
        <v>12.71088</v>
      </c>
      <c r="O29" s="35">
        <f t="shared" si="1"/>
        <v>0.4</v>
      </c>
      <c r="P29" s="35">
        <v>0.4</v>
      </c>
      <c r="Q29" s="60">
        <f t="shared" si="2"/>
        <v>10.018654399999999</v>
      </c>
      <c r="R29" s="60">
        <f t="shared" si="3"/>
        <v>23.529534399999999</v>
      </c>
    </row>
    <row r="30" spans="1:18" x14ac:dyDescent="0.2">
      <c r="A30" s="76"/>
      <c r="B30" s="33" t="s">
        <v>132</v>
      </c>
      <c r="C30" s="34">
        <v>1100</v>
      </c>
      <c r="D30" s="34">
        <v>470</v>
      </c>
      <c r="E30" s="35">
        <v>95</v>
      </c>
      <c r="F30" s="36"/>
      <c r="G30" s="34"/>
      <c r="H30" s="34"/>
      <c r="I30" s="35">
        <v>4</v>
      </c>
      <c r="J30" s="37"/>
      <c r="K30" s="38">
        <v>360</v>
      </c>
      <c r="L30" s="39">
        <v>4</v>
      </c>
      <c r="M30" s="36">
        <f t="shared" si="0"/>
        <v>1.44</v>
      </c>
      <c r="N30" s="60">
        <f t="shared" si="7"/>
        <v>12.71088</v>
      </c>
      <c r="O30" s="35">
        <f t="shared" si="1"/>
        <v>0.4</v>
      </c>
      <c r="P30" s="35">
        <v>0.4</v>
      </c>
      <c r="Q30" s="60">
        <f t="shared" si="2"/>
        <v>7.6833871999999994</v>
      </c>
      <c r="R30" s="60">
        <f t="shared" si="3"/>
        <v>21.194267199999999</v>
      </c>
    </row>
    <row r="31" spans="1:18" x14ac:dyDescent="0.2">
      <c r="A31" s="76"/>
      <c r="B31" s="33" t="s">
        <v>133</v>
      </c>
      <c r="C31" s="34">
        <v>1600</v>
      </c>
      <c r="D31" s="34">
        <v>470</v>
      </c>
      <c r="E31" s="35">
        <v>95</v>
      </c>
      <c r="F31" s="36"/>
      <c r="G31" s="34"/>
      <c r="H31" s="34"/>
      <c r="I31" s="35">
        <v>6</v>
      </c>
      <c r="J31" s="37"/>
      <c r="K31" s="38">
        <v>360</v>
      </c>
      <c r="L31" s="39">
        <v>6</v>
      </c>
      <c r="M31" s="36">
        <f t="shared" si="0"/>
        <v>2.16</v>
      </c>
      <c r="N31" s="60">
        <f t="shared" si="7"/>
        <v>19.066320000000001</v>
      </c>
      <c r="O31" s="35">
        <f t="shared" si="1"/>
        <v>0.60000000000000009</v>
      </c>
      <c r="P31" s="35">
        <v>0.4</v>
      </c>
      <c r="Q31" s="60">
        <f t="shared" si="2"/>
        <v>10.793307199999999</v>
      </c>
      <c r="R31" s="60">
        <f t="shared" si="3"/>
        <v>30.859627199999998</v>
      </c>
    </row>
    <row r="32" spans="1:18" x14ac:dyDescent="0.2">
      <c r="A32" s="76"/>
      <c r="B32" s="33" t="s">
        <v>134</v>
      </c>
      <c r="C32" s="34">
        <v>2100</v>
      </c>
      <c r="D32" s="34">
        <v>470</v>
      </c>
      <c r="E32" s="35">
        <v>95</v>
      </c>
      <c r="F32" s="36"/>
      <c r="G32" s="34"/>
      <c r="H32" s="34"/>
      <c r="I32" s="35">
        <v>8</v>
      </c>
      <c r="J32" s="37"/>
      <c r="K32" s="38">
        <v>360</v>
      </c>
      <c r="L32" s="39">
        <v>8</v>
      </c>
      <c r="M32" s="36">
        <f t="shared" si="0"/>
        <v>2.88</v>
      </c>
      <c r="N32" s="60">
        <f t="shared" si="7"/>
        <v>25.421759999999999</v>
      </c>
      <c r="O32" s="35">
        <f t="shared" si="1"/>
        <v>0.8</v>
      </c>
      <c r="P32" s="35">
        <v>0.4</v>
      </c>
      <c r="Q32" s="60">
        <f t="shared" si="2"/>
        <v>13.9032272</v>
      </c>
      <c r="R32" s="60">
        <f t="shared" si="3"/>
        <v>40.524987199999998</v>
      </c>
    </row>
    <row r="33" spans="1:18" x14ac:dyDescent="0.2">
      <c r="A33" s="76"/>
      <c r="B33" s="33" t="s">
        <v>135</v>
      </c>
      <c r="C33" s="34">
        <v>1100</v>
      </c>
      <c r="D33" s="34">
        <v>650</v>
      </c>
      <c r="E33" s="35">
        <v>95</v>
      </c>
      <c r="F33" s="36"/>
      <c r="G33" s="34"/>
      <c r="H33" s="34"/>
      <c r="I33" s="35">
        <v>6</v>
      </c>
      <c r="J33" s="37"/>
      <c r="K33" s="38">
        <v>540</v>
      </c>
      <c r="L33" s="39">
        <v>4</v>
      </c>
      <c r="M33" s="36">
        <f t="shared" si="0"/>
        <v>2.16</v>
      </c>
      <c r="N33" s="60">
        <f t="shared" si="7"/>
        <v>19.066320000000001</v>
      </c>
      <c r="O33" s="35">
        <f t="shared" si="1"/>
        <v>0.60000000000000009</v>
      </c>
      <c r="P33" s="35">
        <v>0.4</v>
      </c>
      <c r="Q33" s="60">
        <f t="shared" si="2"/>
        <v>9.8716400000000011</v>
      </c>
      <c r="R33" s="60">
        <f t="shared" si="3"/>
        <v>29.937960000000004</v>
      </c>
    </row>
    <row r="34" spans="1:18" ht="13.5" thickBot="1" x14ac:dyDescent="0.25">
      <c r="A34" s="77"/>
      <c r="B34" s="40" t="s">
        <v>136</v>
      </c>
      <c r="C34" s="41">
        <v>1600</v>
      </c>
      <c r="D34" s="41">
        <v>650</v>
      </c>
      <c r="E34" s="42">
        <v>95</v>
      </c>
      <c r="F34" s="43"/>
      <c r="G34" s="41"/>
      <c r="H34" s="41"/>
      <c r="I34" s="42">
        <v>9</v>
      </c>
      <c r="J34" s="44"/>
      <c r="K34" s="45">
        <v>540</v>
      </c>
      <c r="L34" s="46">
        <v>6</v>
      </c>
      <c r="M34" s="43">
        <f t="shared" si="0"/>
        <v>3.24</v>
      </c>
      <c r="N34" s="61">
        <f t="shared" si="7"/>
        <v>28.599480000000003</v>
      </c>
      <c r="O34" s="42">
        <f t="shared" si="1"/>
        <v>0.9</v>
      </c>
      <c r="P34" s="42">
        <v>0.4</v>
      </c>
      <c r="Q34" s="61">
        <f t="shared" si="2"/>
        <v>13.82972</v>
      </c>
      <c r="R34" s="61">
        <f t="shared" si="3"/>
        <v>43.729199999999999</v>
      </c>
    </row>
    <row r="158" spans="13:18" ht="13.5" thickBot="1" x14ac:dyDescent="0.25"/>
    <row r="159" spans="13:18" x14ac:dyDescent="0.2">
      <c r="M159" s="47"/>
      <c r="N159" s="47"/>
      <c r="O159" s="47"/>
      <c r="P159" s="47"/>
      <c r="Q159" s="47"/>
      <c r="R159" s="47"/>
    </row>
    <row r="160" spans="13:18" x14ac:dyDescent="0.2">
      <c r="M160" s="27"/>
      <c r="N160" s="48"/>
      <c r="O160" s="48"/>
      <c r="P160" s="48"/>
      <c r="Q160" s="48"/>
      <c r="R160" s="48"/>
    </row>
    <row r="161" spans="13:18" x14ac:dyDescent="0.2">
      <c r="M161" s="27"/>
      <c r="N161" s="48"/>
      <c r="O161" s="48"/>
      <c r="P161" s="48"/>
      <c r="Q161" s="48"/>
      <c r="R161" s="48"/>
    </row>
    <row r="162" spans="13:18" x14ac:dyDescent="0.2">
      <c r="M162" s="27"/>
      <c r="N162" s="48"/>
      <c r="O162" s="48"/>
      <c r="P162" s="48"/>
      <c r="Q162" s="48"/>
      <c r="R162" s="48"/>
    </row>
    <row r="163" spans="13:18" x14ac:dyDescent="0.2">
      <c r="M163" s="27"/>
      <c r="N163" s="48"/>
      <c r="O163" s="48"/>
      <c r="P163" s="48"/>
      <c r="Q163" s="48"/>
      <c r="R163" s="48"/>
    </row>
    <row r="164" spans="13:18" x14ac:dyDescent="0.2">
      <c r="M164" s="27"/>
      <c r="N164" s="48"/>
      <c r="O164" s="48"/>
      <c r="P164" s="48"/>
      <c r="Q164" s="48"/>
      <c r="R164" s="48"/>
    </row>
    <row r="165" spans="13:18" x14ac:dyDescent="0.2">
      <c r="M165" s="27"/>
      <c r="N165" s="48"/>
      <c r="O165" s="48"/>
      <c r="P165" s="48"/>
      <c r="Q165" s="48"/>
      <c r="R165" s="48"/>
    </row>
    <row r="166" spans="13:18" x14ac:dyDescent="0.2">
      <c r="M166" s="27"/>
      <c r="N166" s="48"/>
      <c r="O166" s="48"/>
      <c r="P166" s="48"/>
      <c r="Q166" s="48"/>
      <c r="R166" s="48"/>
    </row>
    <row r="167" spans="13:18" x14ac:dyDescent="0.2">
      <c r="M167" s="27"/>
      <c r="N167" s="48"/>
      <c r="O167" s="48"/>
      <c r="P167" s="48"/>
      <c r="Q167" s="48"/>
      <c r="R167" s="48"/>
    </row>
    <row r="168" spans="13:18" x14ac:dyDescent="0.2">
      <c r="M168" s="27"/>
      <c r="N168" s="48"/>
      <c r="O168" s="48"/>
      <c r="P168" s="48"/>
      <c r="Q168" s="48"/>
      <c r="R168" s="48"/>
    </row>
    <row r="169" spans="13:18" x14ac:dyDescent="0.2">
      <c r="M169" s="27"/>
      <c r="N169" s="48"/>
      <c r="O169" s="48"/>
      <c r="P169" s="48"/>
      <c r="Q169" s="48"/>
      <c r="R169" s="48"/>
    </row>
    <row r="170" spans="13:18" x14ac:dyDescent="0.2">
      <c r="M170" s="27"/>
      <c r="N170" s="48"/>
      <c r="O170" s="48"/>
      <c r="P170" s="48"/>
      <c r="Q170" s="48"/>
      <c r="R170" s="48"/>
    </row>
    <row r="171" spans="13:18" x14ac:dyDescent="0.2">
      <c r="M171" s="27"/>
      <c r="N171" s="48"/>
      <c r="O171" s="48"/>
      <c r="P171" s="48"/>
      <c r="Q171" s="48"/>
      <c r="R171" s="48"/>
    </row>
    <row r="172" spans="13:18" x14ac:dyDescent="0.2">
      <c r="M172" s="27"/>
      <c r="N172" s="48"/>
      <c r="O172" s="48"/>
      <c r="P172" s="48"/>
      <c r="Q172" s="48"/>
      <c r="R172" s="48"/>
    </row>
    <row r="173" spans="13:18" x14ac:dyDescent="0.2">
      <c r="M173" s="27"/>
      <c r="N173" s="48"/>
      <c r="O173" s="48"/>
      <c r="P173" s="48"/>
      <c r="Q173" s="48"/>
      <c r="R173" s="48"/>
    </row>
    <row r="174" spans="13:18" x14ac:dyDescent="0.2">
      <c r="M174" s="27"/>
      <c r="N174" s="48"/>
      <c r="O174" s="48"/>
      <c r="P174" s="48"/>
      <c r="Q174" s="48"/>
      <c r="R174" s="48"/>
    </row>
    <row r="175" spans="13:18" x14ac:dyDescent="0.2">
      <c r="M175" s="27"/>
      <c r="N175" s="48"/>
      <c r="O175" s="48"/>
      <c r="P175" s="48"/>
      <c r="Q175" s="48"/>
      <c r="R175" s="48"/>
    </row>
    <row r="176" spans="13:18" x14ac:dyDescent="0.2">
      <c r="M176" s="27"/>
      <c r="N176" s="48"/>
      <c r="O176" s="48"/>
      <c r="P176" s="48"/>
      <c r="Q176" s="48"/>
      <c r="R176" s="48"/>
    </row>
    <row r="177" spans="13:18" x14ac:dyDescent="0.2">
      <c r="M177" s="27"/>
      <c r="N177" s="48"/>
      <c r="O177" s="48"/>
      <c r="P177" s="48"/>
      <c r="Q177" s="48"/>
      <c r="R177" s="48"/>
    </row>
    <row r="178" spans="13:18" x14ac:dyDescent="0.2">
      <c r="M178" s="27"/>
      <c r="N178" s="48"/>
      <c r="O178" s="48"/>
      <c r="P178" s="48"/>
      <c r="Q178" s="48"/>
      <c r="R178" s="48"/>
    </row>
    <row r="179" spans="13:18" x14ac:dyDescent="0.2">
      <c r="M179" s="27"/>
      <c r="N179" s="48"/>
      <c r="O179" s="48"/>
      <c r="P179" s="48"/>
      <c r="Q179" s="48"/>
      <c r="R179" s="48"/>
    </row>
    <row r="180" spans="13:18" x14ac:dyDescent="0.2">
      <c r="M180" s="27"/>
      <c r="N180" s="48"/>
      <c r="O180" s="48"/>
      <c r="P180" s="48"/>
      <c r="Q180" s="48"/>
      <c r="R180" s="48"/>
    </row>
    <row r="181" spans="13:18" x14ac:dyDescent="0.2">
      <c r="M181" s="27"/>
      <c r="N181" s="48"/>
      <c r="O181" s="48"/>
      <c r="P181" s="48"/>
      <c r="Q181" s="48"/>
      <c r="R181" s="48"/>
    </row>
    <row r="182" spans="13:18" x14ac:dyDescent="0.2">
      <c r="M182" s="27"/>
      <c r="N182" s="48"/>
      <c r="O182" s="48"/>
      <c r="P182" s="48"/>
      <c r="Q182" s="48"/>
      <c r="R182" s="48"/>
    </row>
    <row r="183" spans="13:18" x14ac:dyDescent="0.2">
      <c r="M183" s="27"/>
      <c r="N183" s="48"/>
      <c r="O183" s="48"/>
      <c r="P183" s="48"/>
      <c r="Q183" s="48"/>
      <c r="R183" s="48"/>
    </row>
    <row r="184" spans="13:18" x14ac:dyDescent="0.2">
      <c r="M184" s="27"/>
      <c r="N184" s="48"/>
      <c r="O184" s="48"/>
      <c r="P184" s="48"/>
      <c r="Q184" s="48"/>
      <c r="R184" s="48"/>
    </row>
    <row r="185" spans="13:18" x14ac:dyDescent="0.2">
      <c r="M185" s="27"/>
      <c r="N185" s="48"/>
      <c r="O185" s="48"/>
      <c r="P185" s="48"/>
      <c r="Q185" s="48"/>
      <c r="R185" s="48"/>
    </row>
    <row r="186" spans="13:18" x14ac:dyDescent="0.2">
      <c r="M186" s="27"/>
      <c r="N186" s="48"/>
      <c r="O186" s="48"/>
      <c r="P186" s="48"/>
      <c r="Q186" s="48"/>
      <c r="R186" s="48"/>
    </row>
    <row r="187" spans="13:18" x14ac:dyDescent="0.2">
      <c r="M187" s="27"/>
      <c r="N187" s="48"/>
      <c r="O187" s="48"/>
      <c r="P187" s="48"/>
      <c r="Q187" s="48"/>
      <c r="R187" s="48"/>
    </row>
    <row r="188" spans="13:18" x14ac:dyDescent="0.2">
      <c r="M188" s="27"/>
      <c r="N188" s="48"/>
      <c r="O188" s="48"/>
      <c r="P188" s="48"/>
      <c r="Q188" s="48"/>
      <c r="R188" s="48"/>
    </row>
    <row r="189" spans="13:18" x14ac:dyDescent="0.2">
      <c r="M189" s="27"/>
      <c r="N189" s="48"/>
      <c r="O189" s="48"/>
      <c r="P189" s="48"/>
      <c r="Q189" s="48"/>
      <c r="R189" s="48"/>
    </row>
    <row r="190" spans="13:18" ht="13.5" thickBot="1" x14ac:dyDescent="0.25">
      <c r="M190" s="49"/>
      <c r="N190" s="50"/>
      <c r="O190" s="50"/>
      <c r="P190" s="50"/>
      <c r="Q190" s="50"/>
      <c r="R190" s="50"/>
    </row>
    <row r="209" spans="2:12" ht="13.5" thickBot="1" x14ac:dyDescent="0.25"/>
    <row r="210" spans="2:12" ht="51" x14ac:dyDescent="0.2">
      <c r="B210" s="51" t="s">
        <v>138</v>
      </c>
      <c r="C210" s="52" t="s">
        <v>94</v>
      </c>
      <c r="D210" s="52" t="s">
        <v>95</v>
      </c>
      <c r="E210" s="52" t="s">
        <v>96</v>
      </c>
      <c r="F210" s="53" t="s">
        <v>139</v>
      </c>
      <c r="G210" s="54"/>
      <c r="H210" s="47" t="s">
        <v>140</v>
      </c>
      <c r="I210" s="47"/>
      <c r="J210" s="47"/>
      <c r="K210" s="47" t="s">
        <v>137</v>
      </c>
      <c r="L210" s="47" t="s">
        <v>141</v>
      </c>
    </row>
    <row r="211" spans="2:12" x14ac:dyDescent="0.2">
      <c r="B211" s="78" t="s">
        <v>108</v>
      </c>
      <c r="C211" s="27">
        <v>240</v>
      </c>
      <c r="D211" s="27">
        <v>1400</v>
      </c>
      <c r="E211" s="27">
        <v>50</v>
      </c>
      <c r="F211" s="28">
        <v>580</v>
      </c>
      <c r="G211" s="48"/>
      <c r="H211" s="27">
        <v>2</v>
      </c>
      <c r="I211" s="27"/>
      <c r="J211" s="27"/>
      <c r="K211" s="27">
        <v>1</v>
      </c>
      <c r="L211" s="27">
        <v>2</v>
      </c>
    </row>
    <row r="212" spans="2:12" x14ac:dyDescent="0.2">
      <c r="B212" s="78"/>
      <c r="C212" s="27">
        <v>240</v>
      </c>
      <c r="D212" s="27">
        <v>1900</v>
      </c>
      <c r="E212" s="27">
        <v>50</v>
      </c>
      <c r="F212" s="28">
        <v>870</v>
      </c>
      <c r="G212" s="48"/>
      <c r="H212" s="27">
        <v>3</v>
      </c>
      <c r="I212" s="27"/>
      <c r="J212" s="27"/>
      <c r="K212" s="27">
        <v>1</v>
      </c>
      <c r="L212" s="27">
        <v>3</v>
      </c>
    </row>
    <row r="213" spans="2:12" x14ac:dyDescent="0.2">
      <c r="B213" s="78"/>
      <c r="C213" s="27">
        <v>460</v>
      </c>
      <c r="D213" s="27">
        <v>750</v>
      </c>
      <c r="E213" s="27">
        <v>50</v>
      </c>
      <c r="F213" s="28">
        <v>580</v>
      </c>
      <c r="G213" s="48"/>
      <c r="H213" s="27">
        <v>2</v>
      </c>
      <c r="I213" s="27"/>
      <c r="J213" s="27"/>
      <c r="K213" s="27">
        <v>2</v>
      </c>
      <c r="L213" s="27">
        <v>1</v>
      </c>
    </row>
    <row r="214" spans="2:12" x14ac:dyDescent="0.2">
      <c r="B214" s="78"/>
      <c r="C214" s="27">
        <v>460</v>
      </c>
      <c r="D214" s="27">
        <v>1400</v>
      </c>
      <c r="E214" s="27">
        <v>50</v>
      </c>
      <c r="F214" s="28">
        <v>1160</v>
      </c>
      <c r="G214" s="48"/>
      <c r="H214" s="27">
        <v>4</v>
      </c>
      <c r="I214" s="27"/>
      <c r="J214" s="27"/>
      <c r="K214" s="27">
        <v>2</v>
      </c>
      <c r="L214" s="27">
        <v>2</v>
      </c>
    </row>
    <row r="215" spans="2:12" x14ac:dyDescent="0.2">
      <c r="B215" s="78"/>
      <c r="C215" s="27">
        <v>460</v>
      </c>
      <c r="D215" s="27">
        <v>1900</v>
      </c>
      <c r="E215" s="27">
        <v>50</v>
      </c>
      <c r="F215" s="28">
        <v>1740</v>
      </c>
      <c r="G215" s="48"/>
      <c r="H215" s="27">
        <v>6</v>
      </c>
      <c r="I215" s="27"/>
      <c r="J215" s="27"/>
      <c r="K215" s="27">
        <v>2</v>
      </c>
      <c r="L215" s="27">
        <v>3</v>
      </c>
    </row>
    <row r="216" spans="2:12" x14ac:dyDescent="0.2">
      <c r="B216" s="78"/>
      <c r="C216" s="27">
        <v>240</v>
      </c>
      <c r="D216" s="27">
        <v>1400</v>
      </c>
      <c r="E216" s="27">
        <v>95</v>
      </c>
      <c r="F216" s="28">
        <v>820</v>
      </c>
      <c r="G216" s="48"/>
      <c r="H216" s="27">
        <v>2</v>
      </c>
      <c r="I216" s="27"/>
      <c r="J216" s="27"/>
      <c r="K216" s="27">
        <v>1</v>
      </c>
      <c r="L216" s="27">
        <v>2</v>
      </c>
    </row>
    <row r="217" spans="2:12" x14ac:dyDescent="0.2">
      <c r="B217" s="78"/>
      <c r="C217" s="27">
        <v>240</v>
      </c>
      <c r="D217" s="27">
        <v>1900</v>
      </c>
      <c r="E217" s="27">
        <v>95</v>
      </c>
      <c r="F217" s="28">
        <v>1230</v>
      </c>
      <c r="G217" s="48"/>
      <c r="H217" s="27">
        <v>3</v>
      </c>
      <c r="I217" s="27"/>
      <c r="J217" s="27"/>
      <c r="K217" s="27">
        <v>1</v>
      </c>
      <c r="L217" s="27">
        <v>3</v>
      </c>
    </row>
    <row r="218" spans="2:12" x14ac:dyDescent="0.2">
      <c r="B218" s="78"/>
      <c r="C218" s="27">
        <v>460</v>
      </c>
      <c r="D218" s="27">
        <v>750</v>
      </c>
      <c r="E218" s="27">
        <v>95</v>
      </c>
      <c r="F218" s="28">
        <v>820</v>
      </c>
      <c r="G218" s="48"/>
      <c r="H218" s="27">
        <v>2</v>
      </c>
      <c r="I218" s="27"/>
      <c r="J218" s="27"/>
      <c r="K218" s="27">
        <v>2</v>
      </c>
      <c r="L218" s="27">
        <v>1</v>
      </c>
    </row>
    <row r="219" spans="2:12" x14ac:dyDescent="0.2">
      <c r="B219" s="78"/>
      <c r="C219" s="27">
        <v>460</v>
      </c>
      <c r="D219" s="27">
        <v>1400</v>
      </c>
      <c r="E219" s="27">
        <v>95</v>
      </c>
      <c r="F219" s="28">
        <v>1640</v>
      </c>
      <c r="G219" s="48"/>
      <c r="H219" s="27">
        <v>4</v>
      </c>
      <c r="I219" s="27"/>
      <c r="J219" s="27"/>
      <c r="K219" s="27">
        <v>2</v>
      </c>
      <c r="L219" s="27">
        <v>2</v>
      </c>
    </row>
    <row r="220" spans="2:12" x14ac:dyDescent="0.2">
      <c r="B220" s="78"/>
      <c r="C220" s="27">
        <v>460</v>
      </c>
      <c r="D220" s="27">
        <v>1900</v>
      </c>
      <c r="E220" s="27">
        <v>95</v>
      </c>
      <c r="F220" s="28">
        <v>2460</v>
      </c>
      <c r="G220" s="48"/>
      <c r="H220" s="27">
        <v>6</v>
      </c>
      <c r="I220" s="27"/>
      <c r="J220" s="27"/>
      <c r="K220" s="27">
        <v>2</v>
      </c>
      <c r="L220" s="27">
        <v>3</v>
      </c>
    </row>
    <row r="221" spans="2:12" x14ac:dyDescent="0.2">
      <c r="B221" s="78" t="s">
        <v>119</v>
      </c>
      <c r="C221" s="27">
        <v>1100</v>
      </c>
      <c r="D221" s="27">
        <v>290</v>
      </c>
      <c r="E221" s="27">
        <v>50</v>
      </c>
      <c r="F221" s="55">
        <v>394.46771978021974</v>
      </c>
      <c r="G221" s="56"/>
      <c r="H221" s="27"/>
      <c r="I221" s="27"/>
      <c r="J221" s="27"/>
      <c r="K221" s="27"/>
      <c r="L221" s="27"/>
    </row>
    <row r="222" spans="2:12" x14ac:dyDescent="0.2">
      <c r="B222" s="78"/>
      <c r="C222" s="27">
        <v>1600</v>
      </c>
      <c r="D222" s="27">
        <v>290</v>
      </c>
      <c r="E222" s="27">
        <v>50</v>
      </c>
      <c r="F222" s="55">
        <v>591.70157967032958</v>
      </c>
      <c r="G222" s="56"/>
      <c r="H222" s="27"/>
      <c r="I222" s="27"/>
      <c r="J222" s="27"/>
      <c r="K222" s="27"/>
      <c r="L222" s="27"/>
    </row>
    <row r="223" spans="2:12" x14ac:dyDescent="0.2">
      <c r="B223" s="78"/>
      <c r="C223" s="27">
        <v>2100</v>
      </c>
      <c r="D223" s="27">
        <v>290</v>
      </c>
      <c r="E223" s="27">
        <v>50</v>
      </c>
      <c r="F223" s="55">
        <v>788.93543956043948</v>
      </c>
      <c r="G223" s="56"/>
      <c r="H223" s="27"/>
      <c r="I223" s="27"/>
      <c r="J223" s="27"/>
      <c r="K223" s="27"/>
      <c r="L223" s="27"/>
    </row>
    <row r="224" spans="2:12" x14ac:dyDescent="0.2">
      <c r="B224" s="78"/>
      <c r="C224" s="27">
        <v>1100</v>
      </c>
      <c r="D224" s="27">
        <v>470</v>
      </c>
      <c r="E224" s="27">
        <v>50</v>
      </c>
      <c r="F224" s="55">
        <v>788.93543956043948</v>
      </c>
      <c r="G224" s="56"/>
      <c r="H224" s="27"/>
      <c r="I224" s="27"/>
      <c r="J224" s="27"/>
      <c r="K224" s="27"/>
      <c r="L224" s="27"/>
    </row>
    <row r="225" spans="2:12" x14ac:dyDescent="0.2">
      <c r="B225" s="78"/>
      <c r="C225" s="27">
        <v>1600</v>
      </c>
      <c r="D225" s="27">
        <v>470</v>
      </c>
      <c r="E225" s="27">
        <v>50</v>
      </c>
      <c r="F225" s="55">
        <v>1183.4031593406592</v>
      </c>
      <c r="G225" s="56"/>
      <c r="H225" s="27"/>
      <c r="I225" s="27"/>
      <c r="J225" s="27"/>
      <c r="K225" s="27"/>
      <c r="L225" s="27"/>
    </row>
    <row r="226" spans="2:12" x14ac:dyDescent="0.2">
      <c r="B226" s="78"/>
      <c r="C226" s="27">
        <v>2100</v>
      </c>
      <c r="D226" s="27">
        <v>470</v>
      </c>
      <c r="E226" s="27">
        <v>50</v>
      </c>
      <c r="F226" s="55">
        <v>1577.870879120879</v>
      </c>
      <c r="G226" s="56"/>
      <c r="H226" s="27"/>
      <c r="I226" s="27"/>
      <c r="J226" s="27"/>
      <c r="K226" s="27"/>
      <c r="L226" s="27"/>
    </row>
    <row r="227" spans="2:12" x14ac:dyDescent="0.2">
      <c r="B227" s="78"/>
      <c r="C227" s="27">
        <v>1100</v>
      </c>
      <c r="D227" s="27">
        <v>650</v>
      </c>
      <c r="E227" s="27">
        <v>50</v>
      </c>
      <c r="F227" s="55">
        <v>1183.4031593406592</v>
      </c>
      <c r="G227" s="56"/>
      <c r="H227" s="27"/>
      <c r="I227" s="27"/>
      <c r="J227" s="27"/>
      <c r="K227" s="27"/>
      <c r="L227" s="27"/>
    </row>
    <row r="228" spans="2:12" x14ac:dyDescent="0.2">
      <c r="B228" s="78"/>
      <c r="C228" s="27">
        <v>1600</v>
      </c>
      <c r="D228" s="27">
        <v>650</v>
      </c>
      <c r="E228" s="27">
        <v>50</v>
      </c>
      <c r="F228" s="55">
        <v>1775.1047390109889</v>
      </c>
      <c r="G228" s="56"/>
      <c r="H228" s="27"/>
      <c r="I228" s="27"/>
      <c r="J228" s="27"/>
      <c r="K228" s="27"/>
      <c r="L228" s="27"/>
    </row>
    <row r="229" spans="2:12" x14ac:dyDescent="0.2">
      <c r="B229" s="78"/>
      <c r="C229" s="27">
        <v>2100</v>
      </c>
      <c r="D229" s="27">
        <v>650</v>
      </c>
      <c r="E229" s="27">
        <v>50</v>
      </c>
      <c r="F229" s="55">
        <v>2366.8063186813183</v>
      </c>
      <c r="G229" s="56"/>
      <c r="H229" s="27"/>
      <c r="I229" s="27"/>
      <c r="J229" s="27"/>
      <c r="K229" s="27"/>
      <c r="L229" s="27"/>
    </row>
    <row r="230" spans="2:12" x14ac:dyDescent="0.2">
      <c r="B230" s="78"/>
      <c r="C230" s="27">
        <v>1100</v>
      </c>
      <c r="D230" s="27">
        <v>290</v>
      </c>
      <c r="E230" s="27">
        <v>95</v>
      </c>
      <c r="F230" s="55">
        <v>578.35113960113961</v>
      </c>
      <c r="G230" s="56"/>
      <c r="H230" s="27"/>
      <c r="I230" s="27"/>
      <c r="J230" s="27"/>
      <c r="K230" s="27"/>
      <c r="L230" s="27"/>
    </row>
    <row r="231" spans="2:12" x14ac:dyDescent="0.2">
      <c r="B231" s="78"/>
      <c r="C231" s="27">
        <v>1600</v>
      </c>
      <c r="D231" s="27">
        <v>290</v>
      </c>
      <c r="E231" s="27">
        <v>95</v>
      </c>
      <c r="F231" s="55">
        <v>867.52670940170947</v>
      </c>
      <c r="G231" s="56"/>
      <c r="H231" s="27"/>
      <c r="I231" s="27"/>
      <c r="J231" s="27"/>
      <c r="K231" s="27"/>
      <c r="L231" s="27"/>
    </row>
    <row r="232" spans="2:12" x14ac:dyDescent="0.2">
      <c r="B232" s="78"/>
      <c r="C232" s="27">
        <v>2100</v>
      </c>
      <c r="D232" s="27">
        <v>290</v>
      </c>
      <c r="E232" s="27">
        <v>95</v>
      </c>
      <c r="F232" s="55">
        <v>1156.7022792022792</v>
      </c>
      <c r="G232" s="56"/>
      <c r="H232" s="27"/>
      <c r="I232" s="27"/>
      <c r="J232" s="27"/>
      <c r="K232" s="27"/>
      <c r="L232" s="27"/>
    </row>
    <row r="233" spans="2:12" x14ac:dyDescent="0.2">
      <c r="B233" s="78"/>
      <c r="C233" s="27">
        <v>1100</v>
      </c>
      <c r="D233" s="27">
        <v>470</v>
      </c>
      <c r="E233" s="27">
        <v>95</v>
      </c>
      <c r="F233" s="55">
        <v>1156.7022792022792</v>
      </c>
      <c r="G233" s="56"/>
      <c r="H233" s="27"/>
      <c r="I233" s="27"/>
      <c r="J233" s="27"/>
      <c r="K233" s="27"/>
      <c r="L233" s="27"/>
    </row>
    <row r="234" spans="2:12" x14ac:dyDescent="0.2">
      <c r="B234" s="78"/>
      <c r="C234" s="27">
        <v>1600</v>
      </c>
      <c r="D234" s="27">
        <v>470</v>
      </c>
      <c r="E234" s="27">
        <v>95</v>
      </c>
      <c r="F234" s="55">
        <v>1735.0534188034189</v>
      </c>
      <c r="G234" s="56"/>
      <c r="H234" s="27"/>
      <c r="I234" s="27"/>
      <c r="J234" s="27"/>
      <c r="K234" s="27"/>
      <c r="L234" s="27"/>
    </row>
    <row r="235" spans="2:12" x14ac:dyDescent="0.2">
      <c r="B235" s="78"/>
      <c r="C235" s="27">
        <v>2100</v>
      </c>
      <c r="D235" s="27">
        <v>470</v>
      </c>
      <c r="E235" s="27">
        <v>95</v>
      </c>
      <c r="F235" s="55">
        <v>2313.4045584045584</v>
      </c>
      <c r="G235" s="56"/>
      <c r="H235" s="27"/>
      <c r="I235" s="27"/>
      <c r="J235" s="27"/>
      <c r="K235" s="27"/>
      <c r="L235" s="27"/>
    </row>
    <row r="236" spans="2:12" x14ac:dyDescent="0.2">
      <c r="B236" s="78"/>
      <c r="C236" s="27">
        <v>1100</v>
      </c>
      <c r="D236" s="27">
        <v>650</v>
      </c>
      <c r="E236" s="27">
        <v>95</v>
      </c>
      <c r="F236" s="55">
        <v>1735.0534188034189</v>
      </c>
      <c r="G236" s="56"/>
      <c r="H236" s="27"/>
      <c r="I236" s="27"/>
      <c r="J236" s="27"/>
      <c r="K236" s="27"/>
      <c r="L236" s="27"/>
    </row>
    <row r="237" spans="2:12" x14ac:dyDescent="0.2">
      <c r="B237" s="78"/>
      <c r="C237" s="27">
        <v>1600</v>
      </c>
      <c r="D237" s="27">
        <v>650</v>
      </c>
      <c r="E237" s="27">
        <v>95</v>
      </c>
      <c r="F237" s="55">
        <v>2602.5801282051284</v>
      </c>
      <c r="G237" s="56"/>
      <c r="H237" s="27"/>
      <c r="I237" s="27"/>
      <c r="J237" s="27"/>
      <c r="K237" s="27"/>
      <c r="L237" s="27"/>
    </row>
    <row r="238" spans="2:12" x14ac:dyDescent="0.2">
      <c r="B238" s="78" t="s">
        <v>103</v>
      </c>
      <c r="C238" s="27">
        <v>700</v>
      </c>
      <c r="D238" s="27">
        <v>700</v>
      </c>
      <c r="E238" s="27">
        <v>50</v>
      </c>
      <c r="F238" s="55">
        <v>870</v>
      </c>
      <c r="G238" s="56"/>
      <c r="H238" s="27">
        <v>3</v>
      </c>
      <c r="I238" s="27"/>
      <c r="J238" s="27"/>
      <c r="K238" s="27">
        <v>3</v>
      </c>
      <c r="L238" s="27">
        <v>1</v>
      </c>
    </row>
    <row r="239" spans="2:12" x14ac:dyDescent="0.2">
      <c r="B239" s="78"/>
      <c r="C239" s="27">
        <v>1050</v>
      </c>
      <c r="D239" s="27">
        <v>1050</v>
      </c>
      <c r="E239" s="27">
        <v>50</v>
      </c>
      <c r="F239" s="55">
        <v>1578</v>
      </c>
      <c r="G239" s="56"/>
      <c r="H239" s="27"/>
      <c r="I239" s="27"/>
      <c r="J239" s="27"/>
      <c r="K239" s="27"/>
      <c r="L239" s="27"/>
    </row>
    <row r="240" spans="2:12" x14ac:dyDescent="0.2">
      <c r="B240" s="78"/>
      <c r="C240" s="27">
        <v>700</v>
      </c>
      <c r="D240" s="27">
        <v>700</v>
      </c>
      <c r="E240" s="27">
        <v>95</v>
      </c>
      <c r="F240" s="55">
        <f>H240*410</f>
        <v>1230</v>
      </c>
      <c r="G240" s="56"/>
      <c r="H240" s="27">
        <v>3</v>
      </c>
      <c r="I240" s="27"/>
      <c r="J240" s="27"/>
      <c r="K240" s="27">
        <v>3</v>
      </c>
      <c r="L240" s="27">
        <v>1</v>
      </c>
    </row>
    <row r="241" spans="2:12" ht="13.5" thickBot="1" x14ac:dyDescent="0.25">
      <c r="B241" s="79"/>
      <c r="C241" s="49">
        <v>1050</v>
      </c>
      <c r="D241" s="49">
        <v>1050</v>
      </c>
      <c r="E241" s="49">
        <v>95</v>
      </c>
      <c r="F241" s="57" t="e">
        <f>#REF!*289</f>
        <v>#REF!</v>
      </c>
      <c r="G241" s="58"/>
      <c r="H241" s="49"/>
      <c r="I241" s="49"/>
      <c r="J241" s="49"/>
      <c r="K241" s="49"/>
      <c r="L241" s="49"/>
    </row>
  </sheetData>
  <mergeCells count="16">
    <mergeCell ref="A1:L1"/>
    <mergeCell ref="F2:I2"/>
    <mergeCell ref="J2:K2"/>
    <mergeCell ref="L2:L3"/>
    <mergeCell ref="R2:R3"/>
    <mergeCell ref="A18:A34"/>
    <mergeCell ref="B211:B220"/>
    <mergeCell ref="B221:B237"/>
    <mergeCell ref="B238:B241"/>
    <mergeCell ref="Q2:Q3"/>
    <mergeCell ref="O2:O3"/>
    <mergeCell ref="P2:P3"/>
    <mergeCell ref="M2:M3"/>
    <mergeCell ref="N2:N3"/>
    <mergeCell ref="A4:A7"/>
    <mergeCell ref="A8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99BE8-6499-4AA9-BCFE-3FE7702D39F4}">
  <dimension ref="A1:AD12"/>
  <sheetViews>
    <sheetView workbookViewId="0">
      <selection activeCell="D13" sqref="D13"/>
    </sheetView>
  </sheetViews>
  <sheetFormatPr defaultRowHeight="12.75" x14ac:dyDescent="0.2"/>
  <cols>
    <col min="1" max="1" width="13" style="1" customWidth="1"/>
    <col min="2" max="3" width="9.140625" style="1"/>
    <col min="4" max="4" width="14.28515625" style="1" customWidth="1"/>
    <col min="5" max="5" width="11.7109375" style="1" customWidth="1"/>
    <col min="6" max="6" width="13" style="1" customWidth="1"/>
    <col min="7" max="7" width="12.85546875" style="1" customWidth="1"/>
    <col min="8" max="8" width="12.28515625" style="1" customWidth="1"/>
    <col min="9" max="10" width="9.7109375" style="1" customWidth="1"/>
    <col min="11" max="11" width="12" style="1" customWidth="1"/>
    <col min="12" max="12" width="11.5703125" style="1" bestFit="1" customWidth="1"/>
    <col min="13" max="19" width="9.140625" style="1"/>
    <col min="20" max="20" width="10.5703125" style="1" bestFit="1" customWidth="1"/>
    <col min="21" max="22" width="11.5703125" style="1" bestFit="1" customWidth="1"/>
    <col min="23" max="16384" width="9.140625" style="1"/>
  </cols>
  <sheetData>
    <row r="1" spans="1:30" ht="15" x14ac:dyDescent="0.25">
      <c r="A1" s="96" t="s">
        <v>151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S1" s="5"/>
      <c r="T1" s="5"/>
    </row>
    <row r="2" spans="1:30" x14ac:dyDescent="0.2">
      <c r="A2" s="94" t="s">
        <v>148</v>
      </c>
      <c r="B2" s="94"/>
      <c r="C2" s="94"/>
      <c r="D2" s="34">
        <v>1</v>
      </c>
      <c r="E2" s="27">
        <v>2</v>
      </c>
      <c r="F2" s="34">
        <v>3</v>
      </c>
      <c r="G2" s="27">
        <v>4</v>
      </c>
      <c r="H2" s="34">
        <v>5</v>
      </c>
      <c r="I2" s="27">
        <v>6</v>
      </c>
      <c r="J2" s="34">
        <v>7</v>
      </c>
      <c r="K2" s="27">
        <v>8</v>
      </c>
      <c r="L2" s="34">
        <v>9</v>
      </c>
      <c r="M2" s="27">
        <v>10</v>
      </c>
      <c r="N2" s="34">
        <v>11</v>
      </c>
      <c r="O2" s="27">
        <v>12</v>
      </c>
    </row>
    <row r="3" spans="1:30" ht="15" x14ac:dyDescent="0.25">
      <c r="A3" s="95" t="s">
        <v>149</v>
      </c>
      <c r="B3" s="95"/>
      <c r="C3" s="95"/>
      <c r="D3" s="62">
        <v>232.6</v>
      </c>
      <c r="E3" s="63">
        <v>476.2</v>
      </c>
      <c r="F3" s="62">
        <v>719.8</v>
      </c>
      <c r="G3" s="63">
        <v>963.4</v>
      </c>
      <c r="H3" s="62">
        <v>1207</v>
      </c>
      <c r="I3" s="63">
        <v>1450.6</v>
      </c>
      <c r="J3" s="62">
        <v>1694.2</v>
      </c>
      <c r="K3" s="63">
        <v>1937.8</v>
      </c>
      <c r="L3" s="62">
        <v>2181.4</v>
      </c>
      <c r="M3" s="63">
        <v>2425</v>
      </c>
      <c r="N3" s="62">
        <v>2668.6</v>
      </c>
      <c r="O3" s="63">
        <v>2912.2</v>
      </c>
      <c r="R3" s="4"/>
      <c r="Z3" s="6"/>
      <c r="AD3" s="4"/>
    </row>
    <row r="4" spans="1:30" ht="14.25" customHeight="1" x14ac:dyDescent="0.2">
      <c r="A4" s="73" t="s">
        <v>152</v>
      </c>
      <c r="B4"/>
      <c r="C4" s="64" t="s">
        <v>150</v>
      </c>
      <c r="D4" s="34"/>
      <c r="E4" s="27"/>
      <c r="F4" s="34"/>
      <c r="G4" s="27"/>
      <c r="H4" s="34"/>
      <c r="I4" s="27"/>
      <c r="J4" s="34"/>
      <c r="K4" s="27"/>
      <c r="L4" s="34"/>
      <c r="M4" s="27"/>
      <c r="N4" s="34"/>
      <c r="O4" s="27"/>
      <c r="V4" s="2"/>
      <c r="Y4" s="2"/>
      <c r="Z4" s="6"/>
      <c r="AC4" s="2"/>
    </row>
    <row r="5" spans="1:30" ht="15.75" customHeight="1" x14ac:dyDescent="0.2">
      <c r="A5" s="72">
        <v>200</v>
      </c>
      <c r="B5" s="27"/>
      <c r="C5" s="65">
        <v>1.8920000000000003</v>
      </c>
      <c r="D5" s="66">
        <v>1.8920000000000003</v>
      </c>
      <c r="E5" s="67">
        <v>4.0840000000000005</v>
      </c>
      <c r="F5" s="66">
        <v>6.2760000000000007</v>
      </c>
      <c r="G5" s="67">
        <v>8.4680000000000017</v>
      </c>
      <c r="H5" s="66">
        <v>10.66</v>
      </c>
      <c r="I5" s="67">
        <v>12.852000000000002</v>
      </c>
      <c r="J5" s="66">
        <v>15.044000000000004</v>
      </c>
      <c r="K5" s="67">
        <v>17.236000000000004</v>
      </c>
      <c r="L5" s="66">
        <v>19.428000000000001</v>
      </c>
      <c r="M5" s="67">
        <v>21.62</v>
      </c>
      <c r="N5" s="66">
        <v>23.812000000000005</v>
      </c>
      <c r="O5" s="67">
        <v>26.004000000000005</v>
      </c>
      <c r="S5" s="5"/>
      <c r="T5" s="5"/>
      <c r="V5" s="2"/>
      <c r="W5" s="2"/>
      <c r="X5" s="2"/>
      <c r="Y5" s="2"/>
      <c r="Z5" s="6"/>
      <c r="AA5" s="2"/>
      <c r="AC5" s="2"/>
      <c r="AD5" s="2"/>
    </row>
    <row r="6" spans="1:30" ht="12.75" customHeight="1" x14ac:dyDescent="0.25">
      <c r="A6" s="72">
        <v>400</v>
      </c>
      <c r="B6" s="27"/>
      <c r="C6" s="65">
        <v>3.7840000000000007</v>
      </c>
      <c r="D6" s="66">
        <v>3.7840000000000007</v>
      </c>
      <c r="E6" s="67">
        <v>7.8680000000000012</v>
      </c>
      <c r="F6" s="66">
        <v>11.952000000000002</v>
      </c>
      <c r="G6" s="67">
        <v>16.036000000000001</v>
      </c>
      <c r="H6" s="68">
        <v>20.12</v>
      </c>
      <c r="I6" s="67">
        <v>24.204000000000004</v>
      </c>
      <c r="J6" s="66">
        <v>28.288000000000007</v>
      </c>
      <c r="K6" s="67">
        <v>32.372000000000007</v>
      </c>
      <c r="L6" s="66">
        <v>36.456000000000003</v>
      </c>
      <c r="M6" s="67">
        <v>40.540000000000006</v>
      </c>
      <c r="N6" s="66">
        <v>44.624000000000009</v>
      </c>
      <c r="O6" s="67">
        <v>48.708000000000006</v>
      </c>
    </row>
    <row r="7" spans="1:30" ht="15" x14ac:dyDescent="0.25">
      <c r="A7" s="72">
        <v>600</v>
      </c>
      <c r="B7" s="27"/>
      <c r="C7" s="65">
        <v>5.6760000000000002</v>
      </c>
      <c r="D7" s="66">
        <v>5.6760000000000002</v>
      </c>
      <c r="E7" s="67">
        <v>11.652000000000001</v>
      </c>
      <c r="F7" s="68">
        <v>17.628</v>
      </c>
      <c r="G7" s="67">
        <v>23.603999999999999</v>
      </c>
      <c r="H7" s="69">
        <v>29.580000000000002</v>
      </c>
      <c r="I7" s="67">
        <v>35.555999999999997</v>
      </c>
      <c r="J7" s="66">
        <v>41.531999999999996</v>
      </c>
      <c r="K7" s="67">
        <v>47.508000000000003</v>
      </c>
      <c r="L7" s="66">
        <v>53.484000000000002</v>
      </c>
      <c r="M7" s="67">
        <v>59.460000000000008</v>
      </c>
      <c r="N7" s="66">
        <v>65.436000000000007</v>
      </c>
      <c r="O7" s="67">
        <v>71.411999999999992</v>
      </c>
    </row>
    <row r="8" spans="1:30" x14ac:dyDescent="0.2">
      <c r="A8" s="72">
        <v>1000</v>
      </c>
      <c r="B8" s="27"/>
      <c r="C8" s="65">
        <v>9.4600000000000009</v>
      </c>
      <c r="D8" s="66">
        <v>9.4600000000000009</v>
      </c>
      <c r="E8" s="67">
        <v>19.220000000000002</v>
      </c>
      <c r="F8" s="66">
        <v>28.980000000000004</v>
      </c>
      <c r="G8" s="67">
        <v>38.74</v>
      </c>
      <c r="H8" s="66">
        <v>48.500000000000007</v>
      </c>
      <c r="I8" s="67">
        <v>58.260000000000005</v>
      </c>
      <c r="J8" s="66">
        <v>68.02</v>
      </c>
      <c r="K8" s="67">
        <v>77.78</v>
      </c>
      <c r="L8" s="66">
        <v>87.54000000000002</v>
      </c>
      <c r="M8" s="67">
        <v>97.300000000000011</v>
      </c>
      <c r="N8" s="66">
        <v>107.06</v>
      </c>
      <c r="O8" s="67">
        <v>116.82000000000001</v>
      </c>
    </row>
    <row r="9" spans="1:30" ht="15" x14ac:dyDescent="0.25">
      <c r="A9" s="72">
        <v>1500</v>
      </c>
      <c r="B9" s="27"/>
      <c r="C9" s="65">
        <v>14.190000000000001</v>
      </c>
      <c r="D9" s="66">
        <v>14.190000000000001</v>
      </c>
      <c r="E9" s="70">
        <v>28.680000000000003</v>
      </c>
      <c r="F9" s="66">
        <v>43.170000000000009</v>
      </c>
      <c r="G9" s="67">
        <v>57.660000000000004</v>
      </c>
      <c r="H9" s="66">
        <v>72.150000000000006</v>
      </c>
      <c r="I9" s="67">
        <v>86.640000000000015</v>
      </c>
      <c r="J9" s="66">
        <v>101.13000000000001</v>
      </c>
      <c r="K9" s="67">
        <v>115.62</v>
      </c>
      <c r="L9" s="66">
        <v>130.11000000000001</v>
      </c>
      <c r="M9" s="67">
        <v>144.6</v>
      </c>
      <c r="N9" s="66">
        <v>159.09</v>
      </c>
      <c r="O9" s="67">
        <v>173.58000000000004</v>
      </c>
    </row>
    <row r="10" spans="1:30" ht="15" x14ac:dyDescent="0.25">
      <c r="A10" s="72">
        <v>1800</v>
      </c>
      <c r="B10" s="27"/>
      <c r="C10" s="65">
        <v>17.028000000000002</v>
      </c>
      <c r="D10" s="68">
        <v>17.028000000000002</v>
      </c>
      <c r="E10" s="71">
        <v>34.356000000000002</v>
      </c>
      <c r="F10" s="66">
        <v>51.684000000000005</v>
      </c>
      <c r="G10" s="67">
        <v>69.012000000000015</v>
      </c>
      <c r="H10" s="66">
        <v>86.340000000000018</v>
      </c>
      <c r="I10" s="67">
        <v>103.66800000000001</v>
      </c>
      <c r="J10" s="66">
        <v>120.99600000000001</v>
      </c>
      <c r="K10" s="67">
        <v>138.32400000000001</v>
      </c>
      <c r="L10" s="66">
        <v>155.65200000000002</v>
      </c>
      <c r="M10" s="67">
        <v>172.98000000000002</v>
      </c>
      <c r="N10" s="66">
        <v>190.30800000000002</v>
      </c>
      <c r="O10" s="67">
        <v>207.63600000000002</v>
      </c>
    </row>
    <row r="12" spans="1:30" x14ac:dyDescent="0.2">
      <c r="A12" s="2"/>
    </row>
  </sheetData>
  <mergeCells count="3">
    <mergeCell ref="A2:C2"/>
    <mergeCell ref="A3:C3"/>
    <mergeCell ref="A1:O1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303E9-A7E9-4CA6-8EA2-C1EFD6AD7E8F}">
  <dimension ref="A1"/>
  <sheetViews>
    <sheetView tabSelected="1" workbookViewId="0">
      <selection activeCell="E5" sqref="E5"/>
    </sheetView>
  </sheetViews>
  <sheetFormatPr defaultRowHeight="12.75" x14ac:dyDescent="0.2"/>
  <cols>
    <col min="1" max="1" width="17.42578125" bestFit="1" customWidth="1"/>
  </cols>
  <sheetData>
    <row r="1" spans="1:1" x14ac:dyDescent="0.2">
      <c r="A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Outline - Water</vt:lpstr>
      <vt:lpstr>RON</vt:lpstr>
      <vt:lpstr>Outline - Electric</vt:lpstr>
      <vt:lpstr>Column</vt:lpstr>
      <vt:lpstr>Gordon</vt:lpstr>
    </vt:vector>
  </TitlesOfParts>
  <Company>Eskimo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2005-02-15T10:48:25Z</dcterms:created>
  <dcterms:modified xsi:type="dcterms:W3CDTF">2019-05-21T14:04:21Z</dcterms:modified>
</cp:coreProperties>
</file>